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878" lockStructure="1"/>
  <bookViews>
    <workbookView xWindow="240" yWindow="615" windowWidth="20115" windowHeight="7455"/>
  </bookViews>
  <sheets>
    <sheet name="COTIZADOR" sheetId="79" r:id="rId1"/>
    <sheet name="COTIZACION" sheetId="84" r:id="rId2"/>
    <sheet name="Tabla de Avaluos" sheetId="82" state="hidden" r:id="rId3"/>
    <sheet name="TABLA DE AMORTIZACIÓN" sheetId="85" r:id="rId4"/>
  </sheets>
  <definedNames>
    <definedName name="_xlnm.Print_Area" localSheetId="1">COTIZACION!$B$1:$R$65</definedName>
    <definedName name="_xlnm.Print_Area" localSheetId="0">COTIZADOR!$D$3:$L$324</definedName>
    <definedName name="PLAZO_1">COTIZADOR!$G$306</definedName>
    <definedName name="PRODUCTOS_1">COTIZADOR!$O$300:$Y$303</definedName>
    <definedName name="_xlnm.Print_Titles" localSheetId="3">'TABLA DE AMORTIZACIÓN'!$1:$3</definedName>
  </definedNames>
  <calcPr calcId="145621"/>
</workbook>
</file>

<file path=xl/calcChain.xml><?xml version="1.0" encoding="utf-8"?>
<calcChain xmlns="http://schemas.openxmlformats.org/spreadsheetml/2006/main">
  <c r="Q302" i="79" l="1"/>
  <c r="Q301" i="79"/>
  <c r="P302" i="79" l="1"/>
  <c r="P301" i="79"/>
  <c r="J33" i="79" l="1"/>
  <c r="B3" i="85"/>
  <c r="B5" i="85"/>
  <c r="K33" i="79" l="1"/>
  <c r="H16" i="79"/>
  <c r="O308" i="79" l="1"/>
  <c r="K301" i="79"/>
  <c r="E11" i="79" l="1"/>
  <c r="B7" i="84" l="1"/>
  <c r="C21" i="84" s="1"/>
  <c r="S65" i="84" l="1"/>
  <c r="K303" i="79"/>
  <c r="I1" i="82"/>
  <c r="P304" i="79"/>
  <c r="Q304" i="79" s="1"/>
  <c r="R304" i="79" s="1"/>
  <c r="S304" i="79" s="1"/>
  <c r="T304" i="79" s="1"/>
  <c r="U304" i="79" s="1"/>
  <c r="F26" i="79"/>
  <c r="E25" i="79"/>
  <c r="Q23" i="84" s="1"/>
  <c r="E22" i="79"/>
  <c r="J25" i="79" s="1"/>
  <c r="G18" i="79"/>
  <c r="K13" i="84"/>
  <c r="C13" i="84"/>
  <c r="O5" i="84"/>
  <c r="W27" i="84"/>
  <c r="G321" i="79" l="1"/>
  <c r="K36" i="79"/>
  <c r="I5" i="85" s="1"/>
  <c r="H4" i="82"/>
  <c r="H26" i="82"/>
  <c r="H22" i="82"/>
  <c r="H18" i="82"/>
  <c r="H25" i="82"/>
  <c r="H21" i="82"/>
  <c r="H17" i="82"/>
  <c r="H24" i="82"/>
  <c r="H20" i="82"/>
  <c r="H16" i="82"/>
  <c r="H27" i="82"/>
  <c r="H23" i="82"/>
  <c r="H19" i="82"/>
  <c r="H15" i="82"/>
  <c r="Q24" i="84"/>
  <c r="C38" i="84"/>
  <c r="H11" i="82"/>
  <c r="H6" i="82"/>
  <c r="H14" i="82"/>
  <c r="H10" i="82"/>
  <c r="H3" i="82"/>
  <c r="H7" i="82"/>
  <c r="H13" i="82"/>
  <c r="H9" i="82"/>
  <c r="H5" i="82"/>
  <c r="H2" i="82"/>
  <c r="H12" i="82"/>
  <c r="H8" i="82"/>
  <c r="G324" i="79" l="1"/>
  <c r="Q45" i="84" s="1"/>
  <c r="Q47" i="84" s="1"/>
  <c r="G323" i="79"/>
  <c r="C60" i="84" s="1"/>
  <c r="G16" i="79"/>
  <c r="F25" i="79" s="1"/>
  <c r="O322" i="79"/>
  <c r="Q20" i="84" s="1"/>
  <c r="P319" i="79"/>
  <c r="O319" i="79" s="1"/>
  <c r="G17" i="79" s="1"/>
  <c r="H28" i="82"/>
  <c r="Q22" i="84" s="1"/>
  <c r="L16" i="79"/>
  <c r="J18" i="79" l="1"/>
  <c r="K304" i="79"/>
  <c r="J305" i="79" s="1"/>
  <c r="O326" i="79" s="1"/>
  <c r="I315" i="79" s="1"/>
  <c r="G19" i="79"/>
  <c r="N13" i="84"/>
  <c r="Q28" i="84" s="1"/>
  <c r="E16" i="79"/>
  <c r="E37" i="79" l="1"/>
  <c r="B6" i="85" s="1"/>
  <c r="K14" i="79"/>
  <c r="E38" i="79" l="1"/>
  <c r="B7" i="85" s="1"/>
  <c r="K37" i="79"/>
  <c r="I6" i="85" s="1"/>
  <c r="G26" i="79"/>
  <c r="G25" i="79" s="1"/>
  <c r="L35" i="79" s="1"/>
  <c r="G9" i="82"/>
  <c r="G4" i="82"/>
  <c r="G3" i="82"/>
  <c r="G7" i="82"/>
  <c r="G5" i="82"/>
  <c r="G8" i="82"/>
  <c r="G6" i="82"/>
  <c r="G2" i="82"/>
  <c r="E39" i="79" l="1"/>
  <c r="B8" i="85" s="1"/>
  <c r="K38" i="79"/>
  <c r="I7" i="85" s="1"/>
  <c r="G318" i="79"/>
  <c r="Q39" i="84" s="1"/>
  <c r="Q32" i="84" s="1"/>
  <c r="F27" i="79"/>
  <c r="I25" i="79"/>
  <c r="K25" i="79" s="1"/>
  <c r="E40" i="79" l="1"/>
  <c r="B9" i="85" s="1"/>
  <c r="K39" i="79"/>
  <c r="I8" i="85" s="1"/>
  <c r="G322" i="79"/>
  <c r="Q21" i="84" s="1"/>
  <c r="Q25" i="84" s="1"/>
  <c r="G22" i="79"/>
  <c r="E41" i="79" l="1"/>
  <c r="B10" i="85" s="1"/>
  <c r="K40" i="79"/>
  <c r="I9" i="85" s="1"/>
  <c r="G314" i="79"/>
  <c r="N22" i="79"/>
  <c r="E21" i="79" s="1"/>
  <c r="F36" i="79"/>
  <c r="C5" i="85" s="1"/>
  <c r="H35" i="79"/>
  <c r="F13" i="84"/>
  <c r="N304" i="79" s="1"/>
  <c r="I22" i="79"/>
  <c r="J22" i="79" s="1"/>
  <c r="J306" i="79" l="1"/>
  <c r="E42" i="79"/>
  <c r="B11" i="85" s="1"/>
  <c r="K41" i="79"/>
  <c r="I10" i="85" s="1"/>
  <c r="G315" i="79"/>
  <c r="I19" i="79"/>
  <c r="G36" i="79"/>
  <c r="J36" i="79"/>
  <c r="G319" i="79" l="1"/>
  <c r="Q40" i="84" s="1"/>
  <c r="Q31" i="84" s="1"/>
  <c r="H5" i="85"/>
  <c r="G316" i="79"/>
  <c r="D5" i="85"/>
  <c r="E5" i="85" s="1"/>
  <c r="E43" i="79"/>
  <c r="B12" i="85" s="1"/>
  <c r="K42" i="79"/>
  <c r="I11" i="85" s="1"/>
  <c r="H36" i="79"/>
  <c r="G317" i="79" l="1"/>
  <c r="Q38" i="84" s="1"/>
  <c r="Q30" i="84" s="1"/>
  <c r="Q33" i="84"/>
  <c r="F37" i="79"/>
  <c r="C6" i="85" s="1"/>
  <c r="F5" i="85"/>
  <c r="E44" i="79"/>
  <c r="B13" i="85" s="1"/>
  <c r="K43" i="79"/>
  <c r="I12" i="85" s="1"/>
  <c r="I36" i="79"/>
  <c r="G320" i="79" l="1"/>
  <c r="Q41" i="84"/>
  <c r="Q16" i="84" s="1"/>
  <c r="Q34" i="84"/>
  <c r="G37" i="79"/>
  <c r="H37" i="79" s="1"/>
  <c r="F6" i="85" s="1"/>
  <c r="Q54" i="84"/>
  <c r="J37" i="79"/>
  <c r="H6" i="85" s="1"/>
  <c r="L36" i="79"/>
  <c r="G5" i="85"/>
  <c r="E45" i="79"/>
  <c r="B14" i="85" s="1"/>
  <c r="K44" i="79"/>
  <c r="I13" i="85" s="1"/>
  <c r="I13" i="84" l="1"/>
  <c r="J5" i="85"/>
  <c r="D6" i="85"/>
  <c r="E6" i="85" s="1"/>
  <c r="F38" i="79"/>
  <c r="C7" i="85" s="1"/>
  <c r="I37" i="79"/>
  <c r="E46" i="79"/>
  <c r="B15" i="85" s="1"/>
  <c r="K45" i="79"/>
  <c r="I14" i="85" s="1"/>
  <c r="G38" i="79" l="1"/>
  <c r="H38" i="79" s="1"/>
  <c r="J38" i="79"/>
  <c r="H7" i="85" s="1"/>
  <c r="L37" i="79"/>
  <c r="G6" i="85"/>
  <c r="E47" i="79"/>
  <c r="B16" i="85" s="1"/>
  <c r="K46" i="79"/>
  <c r="I15" i="85" s="1"/>
  <c r="J6" i="85" l="1"/>
  <c r="D7" i="85"/>
  <c r="E7" i="85" s="1"/>
  <c r="I38" i="79"/>
  <c r="F7" i="85"/>
  <c r="F39" i="79"/>
  <c r="E48" i="79"/>
  <c r="B17" i="85" s="1"/>
  <c r="K47" i="79"/>
  <c r="I16" i="85" s="1"/>
  <c r="G39" i="79" l="1"/>
  <c r="C8" i="85"/>
  <c r="J39" i="79"/>
  <c r="H8" i="85" s="1"/>
  <c r="G7" i="85"/>
  <c r="L38" i="79"/>
  <c r="E49" i="79"/>
  <c r="B18" i="85" s="1"/>
  <c r="K48" i="79"/>
  <c r="I17" i="85" s="1"/>
  <c r="J7" i="85" l="1"/>
  <c r="D8" i="85"/>
  <c r="E8" i="85" s="1"/>
  <c r="H39" i="79"/>
  <c r="E50" i="79"/>
  <c r="B19" i="85" s="1"/>
  <c r="K49" i="79"/>
  <c r="I18" i="85" s="1"/>
  <c r="F8" i="85" l="1"/>
  <c r="I39" i="79"/>
  <c r="F40" i="79"/>
  <c r="E51" i="79"/>
  <c r="B20" i="85" s="1"/>
  <c r="K50" i="79"/>
  <c r="I19" i="85" s="1"/>
  <c r="C9" i="85" l="1"/>
  <c r="J40" i="79"/>
  <c r="H9" i="85" s="1"/>
  <c r="G40" i="79"/>
  <c r="G8" i="85"/>
  <c r="L39" i="79"/>
  <c r="J8" i="85" s="1"/>
  <c r="E52" i="79"/>
  <c r="B21" i="85" s="1"/>
  <c r="K51" i="79"/>
  <c r="I20" i="85" s="1"/>
  <c r="D9" i="85" l="1"/>
  <c r="E9" i="85" s="1"/>
  <c r="H40" i="79"/>
  <c r="E53" i="79"/>
  <c r="B22" i="85" s="1"/>
  <c r="K52" i="79"/>
  <c r="I21" i="85" s="1"/>
  <c r="F9" i="85" l="1"/>
  <c r="F41" i="79"/>
  <c r="I40" i="79"/>
  <c r="E54" i="79"/>
  <c r="B23" i="85" s="1"/>
  <c r="K53" i="79"/>
  <c r="I22" i="85" s="1"/>
  <c r="G9" i="85" l="1"/>
  <c r="L40" i="79"/>
  <c r="J9" i="85" s="1"/>
  <c r="C10" i="85"/>
  <c r="G41" i="79"/>
  <c r="J41" i="79"/>
  <c r="H10" i="85" s="1"/>
  <c r="E55" i="79"/>
  <c r="B24" i="85" s="1"/>
  <c r="K54" i="79"/>
  <c r="I23" i="85" s="1"/>
  <c r="D10" i="85" l="1"/>
  <c r="E10" i="85" s="1"/>
  <c r="H41" i="79"/>
  <c r="E56" i="79"/>
  <c r="B25" i="85" s="1"/>
  <c r="K55" i="79"/>
  <c r="I24" i="85" s="1"/>
  <c r="F10" i="85" l="1"/>
  <c r="F42" i="79"/>
  <c r="I41" i="79"/>
  <c r="E57" i="79"/>
  <c r="B26" i="85" s="1"/>
  <c r="K56" i="79"/>
  <c r="I25" i="85" s="1"/>
  <c r="C11" i="85" l="1"/>
  <c r="J42" i="79"/>
  <c r="H11" i="85" s="1"/>
  <c r="G42" i="79"/>
  <c r="L41" i="79"/>
  <c r="J10" i="85" s="1"/>
  <c r="G10" i="85"/>
  <c r="E58" i="79"/>
  <c r="B27" i="85" s="1"/>
  <c r="K57" i="79"/>
  <c r="I26" i="85" s="1"/>
  <c r="H42" i="79" l="1"/>
  <c r="D11" i="85"/>
  <c r="E11" i="85" s="1"/>
  <c r="E59" i="79"/>
  <c r="B28" i="85" s="1"/>
  <c r="K58" i="79"/>
  <c r="I27" i="85" s="1"/>
  <c r="I42" i="79" l="1"/>
  <c r="F11" i="85"/>
  <c r="F43" i="79"/>
  <c r="E60" i="79"/>
  <c r="B29" i="85" s="1"/>
  <c r="K59" i="79"/>
  <c r="I28" i="85" s="1"/>
  <c r="G43" i="79" l="1"/>
  <c r="C12" i="85"/>
  <c r="J43" i="79"/>
  <c r="G11" i="85"/>
  <c r="L42" i="79"/>
  <c r="J11" i="85" s="1"/>
  <c r="E61" i="79"/>
  <c r="B30" i="85" s="1"/>
  <c r="K60" i="79"/>
  <c r="I29" i="85" s="1"/>
  <c r="H12" i="85" l="1"/>
  <c r="H43" i="79"/>
  <c r="D12" i="85"/>
  <c r="E12" i="85" s="1"/>
  <c r="E62" i="79"/>
  <c r="B31" i="85" s="1"/>
  <c r="K61" i="79"/>
  <c r="I30" i="85" s="1"/>
  <c r="I43" i="79" l="1"/>
  <c r="F12" i="85"/>
  <c r="F44" i="79"/>
  <c r="E63" i="79"/>
  <c r="B32" i="85" s="1"/>
  <c r="K62" i="79"/>
  <c r="I31" i="85" s="1"/>
  <c r="J44" i="79" l="1"/>
  <c r="H13" i="85" s="1"/>
  <c r="C13" i="85"/>
  <c r="G44" i="79"/>
  <c r="G12" i="85"/>
  <c r="L43" i="79"/>
  <c r="J12" i="85" s="1"/>
  <c r="E64" i="79"/>
  <c r="B33" i="85" s="1"/>
  <c r="K63" i="79"/>
  <c r="I32" i="85" s="1"/>
  <c r="H44" i="79" l="1"/>
  <c r="D13" i="85"/>
  <c r="E13" i="85" s="1"/>
  <c r="E65" i="79"/>
  <c r="B34" i="85" s="1"/>
  <c r="K64" i="79"/>
  <c r="I33" i="85" s="1"/>
  <c r="I44" i="79" l="1"/>
  <c r="F13" i="85"/>
  <c r="F45" i="79"/>
  <c r="E66" i="79"/>
  <c r="B35" i="85" s="1"/>
  <c r="K65" i="79"/>
  <c r="I34" i="85" s="1"/>
  <c r="G45" i="79" l="1"/>
  <c r="C14" i="85"/>
  <c r="J45" i="79"/>
  <c r="L44" i="79"/>
  <c r="J13" i="85" s="1"/>
  <c r="G13" i="85"/>
  <c r="E67" i="79"/>
  <c r="B36" i="85" s="1"/>
  <c r="K66" i="79"/>
  <c r="I35" i="85" s="1"/>
  <c r="H14" i="85" l="1"/>
  <c r="H45" i="79"/>
  <c r="D14" i="85"/>
  <c r="E14" i="85" s="1"/>
  <c r="E68" i="79"/>
  <c r="B37" i="85" s="1"/>
  <c r="K67" i="79"/>
  <c r="I36" i="85" s="1"/>
  <c r="I45" i="79" l="1"/>
  <c r="F14" i="85"/>
  <c r="F46" i="79"/>
  <c r="E69" i="79"/>
  <c r="B38" i="85" s="1"/>
  <c r="K68" i="79"/>
  <c r="I37" i="85" s="1"/>
  <c r="J46" i="79" l="1"/>
  <c r="H15" i="85" s="1"/>
  <c r="C15" i="85"/>
  <c r="G46" i="79"/>
  <c r="G14" i="85"/>
  <c r="L45" i="79"/>
  <c r="J14" i="85" s="1"/>
  <c r="E70" i="79"/>
  <c r="B39" i="85" s="1"/>
  <c r="K69" i="79"/>
  <c r="I38" i="85" s="1"/>
  <c r="H46" i="79" l="1"/>
  <c r="D15" i="85"/>
  <c r="E15" i="85" s="1"/>
  <c r="E71" i="79"/>
  <c r="B40" i="85" s="1"/>
  <c r="K70" i="79"/>
  <c r="I39" i="85" s="1"/>
  <c r="I46" i="79" l="1"/>
  <c r="F15" i="85"/>
  <c r="F47" i="79"/>
  <c r="E72" i="79"/>
  <c r="B41" i="85" s="1"/>
  <c r="K71" i="79"/>
  <c r="I40" i="85" s="1"/>
  <c r="G47" i="79" l="1"/>
  <c r="C16" i="85"/>
  <c r="J47" i="79"/>
  <c r="H16" i="85" s="1"/>
  <c r="L46" i="79"/>
  <c r="J15" i="85" s="1"/>
  <c r="G15" i="85"/>
  <c r="E73" i="79"/>
  <c r="B42" i="85" s="1"/>
  <c r="K72" i="79"/>
  <c r="I41" i="85" s="1"/>
  <c r="H47" i="79" l="1"/>
  <c r="D16" i="85"/>
  <c r="E16" i="85" s="1"/>
  <c r="E74" i="79"/>
  <c r="B43" i="85" s="1"/>
  <c r="K73" i="79"/>
  <c r="I42" i="85" s="1"/>
  <c r="F16" i="85" l="1"/>
  <c r="I47" i="79"/>
  <c r="F48" i="79"/>
  <c r="E75" i="79"/>
  <c r="B44" i="85" s="1"/>
  <c r="K74" i="79"/>
  <c r="I43" i="85" s="1"/>
  <c r="C17" i="85" l="1"/>
  <c r="J48" i="79"/>
  <c r="H17" i="85" s="1"/>
  <c r="G48" i="79"/>
  <c r="G16" i="85"/>
  <c r="L47" i="79"/>
  <c r="J16" i="85" s="1"/>
  <c r="E76" i="79"/>
  <c r="B45" i="85" s="1"/>
  <c r="K75" i="79"/>
  <c r="I44" i="85" s="1"/>
  <c r="H48" i="79" l="1"/>
  <c r="D17" i="85"/>
  <c r="E17" i="85" s="1"/>
  <c r="E77" i="79"/>
  <c r="B46" i="85" s="1"/>
  <c r="K76" i="79"/>
  <c r="I45" i="85" s="1"/>
  <c r="I48" i="79" l="1"/>
  <c r="F17" i="85"/>
  <c r="F49" i="79"/>
  <c r="E78" i="79"/>
  <c r="B47" i="85" s="1"/>
  <c r="K77" i="79"/>
  <c r="I46" i="85" s="1"/>
  <c r="G49" i="79" l="1"/>
  <c r="C18" i="85"/>
  <c r="J49" i="79"/>
  <c r="G17" i="85"/>
  <c r="L48" i="79"/>
  <c r="J17" i="85" s="1"/>
  <c r="E79" i="79"/>
  <c r="B48" i="85" s="1"/>
  <c r="K78" i="79"/>
  <c r="I47" i="85" s="1"/>
  <c r="H18" i="85" l="1"/>
  <c r="H49" i="79"/>
  <c r="D18" i="85"/>
  <c r="E18" i="85" s="1"/>
  <c r="E80" i="79"/>
  <c r="B49" i="85" s="1"/>
  <c r="K79" i="79"/>
  <c r="I48" i="85" s="1"/>
  <c r="I49" i="79" l="1"/>
  <c r="F18" i="85"/>
  <c r="F50" i="79"/>
  <c r="E81" i="79"/>
  <c r="B50" i="85" s="1"/>
  <c r="K80" i="79"/>
  <c r="I49" i="85" s="1"/>
  <c r="C19" i="85" l="1"/>
  <c r="G50" i="79"/>
  <c r="J50" i="79"/>
  <c r="H19" i="85" s="1"/>
  <c r="G18" i="85"/>
  <c r="L49" i="79"/>
  <c r="J18" i="85" s="1"/>
  <c r="E82" i="79"/>
  <c r="B51" i="85" s="1"/>
  <c r="K81" i="79"/>
  <c r="I50" i="85" s="1"/>
  <c r="H50" i="79" l="1"/>
  <c r="D19" i="85"/>
  <c r="E19" i="85" s="1"/>
  <c r="E83" i="79"/>
  <c r="B52" i="85" s="1"/>
  <c r="K82" i="79"/>
  <c r="I51" i="85" s="1"/>
  <c r="I50" i="79" l="1"/>
  <c r="F19" i="85"/>
  <c r="F51" i="79"/>
  <c r="E84" i="79"/>
  <c r="B53" i="85" s="1"/>
  <c r="K83" i="79"/>
  <c r="I52" i="85" s="1"/>
  <c r="C20" i="85" l="1"/>
  <c r="G51" i="79"/>
  <c r="J51" i="79"/>
  <c r="H20" i="85" s="1"/>
  <c r="G19" i="85"/>
  <c r="L50" i="79"/>
  <c r="J19" i="85" s="1"/>
  <c r="E85" i="79"/>
  <c r="B54" i="85" s="1"/>
  <c r="K84" i="79"/>
  <c r="I53" i="85" s="1"/>
  <c r="H51" i="79" l="1"/>
  <c r="D20" i="85"/>
  <c r="E20" i="85" s="1"/>
  <c r="E86" i="79"/>
  <c r="B55" i="85" s="1"/>
  <c r="K85" i="79"/>
  <c r="I54" i="85" s="1"/>
  <c r="I51" i="79" l="1"/>
  <c r="F20" i="85"/>
  <c r="F52" i="79"/>
  <c r="E87" i="79"/>
  <c r="B56" i="85" s="1"/>
  <c r="K86" i="79"/>
  <c r="I55" i="85" s="1"/>
  <c r="J52" i="79" l="1"/>
  <c r="H21" i="85" s="1"/>
  <c r="C21" i="85"/>
  <c r="G52" i="79"/>
  <c r="G20" i="85"/>
  <c r="L51" i="79"/>
  <c r="J20" i="85" s="1"/>
  <c r="E88" i="79"/>
  <c r="B57" i="85" s="1"/>
  <c r="K87" i="79"/>
  <c r="I56" i="85" s="1"/>
  <c r="H52" i="79" l="1"/>
  <c r="D21" i="85"/>
  <c r="E21" i="85" s="1"/>
  <c r="E89" i="79"/>
  <c r="B58" i="85" s="1"/>
  <c r="K88" i="79"/>
  <c r="I57" i="85" s="1"/>
  <c r="I52" i="79" l="1"/>
  <c r="F21" i="85"/>
  <c r="F53" i="79"/>
  <c r="E90" i="79"/>
  <c r="B59" i="85" s="1"/>
  <c r="K89" i="79"/>
  <c r="I58" i="85" s="1"/>
  <c r="G53" i="79" l="1"/>
  <c r="C22" i="85"/>
  <c r="J53" i="79"/>
  <c r="L52" i="79"/>
  <c r="J21" i="85" s="1"/>
  <c r="G21" i="85"/>
  <c r="E91" i="79"/>
  <c r="B60" i="85" s="1"/>
  <c r="K90" i="79"/>
  <c r="I59" i="85" s="1"/>
  <c r="H22" i="85" l="1"/>
  <c r="H53" i="79"/>
  <c r="D22" i="85"/>
  <c r="E22" i="85" s="1"/>
  <c r="E92" i="79"/>
  <c r="B61" i="85" s="1"/>
  <c r="K91" i="79"/>
  <c r="I60" i="85" s="1"/>
  <c r="I53" i="79" l="1"/>
  <c r="F22" i="85"/>
  <c r="F54" i="79"/>
  <c r="E93" i="79"/>
  <c r="B62" i="85" s="1"/>
  <c r="K92" i="79"/>
  <c r="I61" i="85" s="1"/>
  <c r="J54" i="79" l="1"/>
  <c r="H23" i="85" s="1"/>
  <c r="C23" i="85"/>
  <c r="G54" i="79"/>
  <c r="G22" i="85"/>
  <c r="L53" i="79"/>
  <c r="J22" i="85" s="1"/>
  <c r="E94" i="79"/>
  <c r="B63" i="85" s="1"/>
  <c r="K93" i="79"/>
  <c r="I62" i="85" s="1"/>
  <c r="H54" i="79" l="1"/>
  <c r="D23" i="85"/>
  <c r="E23" i="85" s="1"/>
  <c r="E95" i="79"/>
  <c r="B64" i="85" s="1"/>
  <c r="K94" i="79"/>
  <c r="I63" i="85" s="1"/>
  <c r="I54" i="79" l="1"/>
  <c r="F23" i="85"/>
  <c r="F55" i="79"/>
  <c r="E96" i="79"/>
  <c r="B65" i="85" s="1"/>
  <c r="K95" i="79"/>
  <c r="I64" i="85" s="1"/>
  <c r="G55" i="79" l="1"/>
  <c r="C24" i="85"/>
  <c r="J55" i="79"/>
  <c r="L54" i="79"/>
  <c r="J23" i="85" s="1"/>
  <c r="G23" i="85"/>
  <c r="E97" i="79"/>
  <c r="B66" i="85" s="1"/>
  <c r="K96" i="79"/>
  <c r="I65" i="85" s="1"/>
  <c r="H24" i="85" l="1"/>
  <c r="H55" i="79"/>
  <c r="D24" i="85"/>
  <c r="E24" i="85" s="1"/>
  <c r="E98" i="79"/>
  <c r="B67" i="85" s="1"/>
  <c r="K97" i="79"/>
  <c r="I66" i="85" s="1"/>
  <c r="I55" i="79" l="1"/>
  <c r="F24" i="85"/>
  <c r="F56" i="79"/>
  <c r="E99" i="79"/>
  <c r="B68" i="85" s="1"/>
  <c r="K98" i="79"/>
  <c r="I67" i="85" s="1"/>
  <c r="G56" i="79" l="1"/>
  <c r="C25" i="85"/>
  <c r="J56" i="79"/>
  <c r="G24" i="85"/>
  <c r="L55" i="79"/>
  <c r="J24" i="85" s="1"/>
  <c r="E100" i="79"/>
  <c r="B69" i="85" s="1"/>
  <c r="K99" i="79"/>
  <c r="I68" i="85" s="1"/>
  <c r="H25" i="85" l="1"/>
  <c r="H56" i="79"/>
  <c r="D25" i="85"/>
  <c r="E25" i="85" s="1"/>
  <c r="E101" i="79"/>
  <c r="B70" i="85" s="1"/>
  <c r="K100" i="79"/>
  <c r="I69" i="85" s="1"/>
  <c r="I56" i="79" l="1"/>
  <c r="F25" i="85"/>
  <c r="F57" i="79"/>
  <c r="E102" i="79"/>
  <c r="B71" i="85" s="1"/>
  <c r="K101" i="79"/>
  <c r="I70" i="85" s="1"/>
  <c r="C26" i="85" l="1"/>
  <c r="G57" i="79"/>
  <c r="J57" i="79"/>
  <c r="H26" i="85" s="1"/>
  <c r="G25" i="85"/>
  <c r="L56" i="79"/>
  <c r="J25" i="85" s="1"/>
  <c r="E103" i="79"/>
  <c r="B72" i="85" s="1"/>
  <c r="K102" i="79"/>
  <c r="I71" i="85" s="1"/>
  <c r="H57" i="79" l="1"/>
  <c r="D26" i="85"/>
  <c r="E26" i="85" s="1"/>
  <c r="E104" i="79"/>
  <c r="B73" i="85" s="1"/>
  <c r="K103" i="79"/>
  <c r="I72" i="85" s="1"/>
  <c r="I57" i="79" l="1"/>
  <c r="F26" i="85"/>
  <c r="F58" i="79"/>
  <c r="E105" i="79"/>
  <c r="B74" i="85" s="1"/>
  <c r="K104" i="79"/>
  <c r="I73" i="85" s="1"/>
  <c r="J58" i="79" l="1"/>
  <c r="H27" i="85" s="1"/>
  <c r="C27" i="85"/>
  <c r="G58" i="79"/>
  <c r="G26" i="85"/>
  <c r="L57" i="79"/>
  <c r="J26" i="85" s="1"/>
  <c r="E106" i="79"/>
  <c r="B75" i="85" s="1"/>
  <c r="K105" i="79"/>
  <c r="I74" i="85" s="1"/>
  <c r="H58" i="79" l="1"/>
  <c r="D27" i="85"/>
  <c r="E27" i="85" s="1"/>
  <c r="E107" i="79"/>
  <c r="B76" i="85" s="1"/>
  <c r="K106" i="79"/>
  <c r="I75" i="85" s="1"/>
  <c r="I58" i="79" l="1"/>
  <c r="F27" i="85"/>
  <c r="F59" i="79"/>
  <c r="E108" i="79"/>
  <c r="B77" i="85" s="1"/>
  <c r="K107" i="79"/>
  <c r="I76" i="85" s="1"/>
  <c r="C28" i="85" l="1"/>
  <c r="G59" i="79"/>
  <c r="J59" i="79"/>
  <c r="H28" i="85" s="1"/>
  <c r="L58" i="79"/>
  <c r="J27" i="85" s="1"/>
  <c r="G27" i="85"/>
  <c r="E109" i="79"/>
  <c r="B78" i="85" s="1"/>
  <c r="K108" i="79"/>
  <c r="I77" i="85" s="1"/>
  <c r="H59" i="79" l="1"/>
  <c r="D28" i="85"/>
  <c r="E28" i="85" s="1"/>
  <c r="E110" i="79"/>
  <c r="B79" i="85" s="1"/>
  <c r="K109" i="79"/>
  <c r="I78" i="85" s="1"/>
  <c r="I59" i="79" l="1"/>
  <c r="F28" i="85"/>
  <c r="F60" i="79"/>
  <c r="E111" i="79"/>
  <c r="B80" i="85" s="1"/>
  <c r="K110" i="79"/>
  <c r="I79" i="85" s="1"/>
  <c r="C29" i="85" l="1"/>
  <c r="G60" i="79"/>
  <c r="J60" i="79"/>
  <c r="H29" i="85" s="1"/>
  <c r="G28" i="85"/>
  <c r="L59" i="79"/>
  <c r="J28" i="85" s="1"/>
  <c r="E112" i="79"/>
  <c r="B81" i="85" s="1"/>
  <c r="K111" i="79"/>
  <c r="I80" i="85" s="1"/>
  <c r="H60" i="79" l="1"/>
  <c r="D29" i="85"/>
  <c r="E29" i="85" s="1"/>
  <c r="E113" i="79"/>
  <c r="B82" i="85" s="1"/>
  <c r="K112" i="79"/>
  <c r="I81" i="85" s="1"/>
  <c r="I60" i="79" l="1"/>
  <c r="F29" i="85"/>
  <c r="F61" i="79"/>
  <c r="E114" i="79"/>
  <c r="B83" i="85" s="1"/>
  <c r="K113" i="79"/>
  <c r="I82" i="85" s="1"/>
  <c r="J61" i="79" l="1"/>
  <c r="H30" i="85" s="1"/>
  <c r="C30" i="85"/>
  <c r="G61" i="79"/>
  <c r="G29" i="85"/>
  <c r="L60" i="79"/>
  <c r="J29" i="85" s="1"/>
  <c r="E115" i="79"/>
  <c r="B84" i="85" s="1"/>
  <c r="K114" i="79"/>
  <c r="I83" i="85" s="1"/>
  <c r="H61" i="79" l="1"/>
  <c r="D30" i="85"/>
  <c r="E30" i="85" s="1"/>
  <c r="E116" i="79"/>
  <c r="B85" i="85" s="1"/>
  <c r="K115" i="79"/>
  <c r="I84" i="85" s="1"/>
  <c r="I61" i="79" l="1"/>
  <c r="F30" i="85"/>
  <c r="F62" i="79"/>
  <c r="E117" i="79"/>
  <c r="B86" i="85" s="1"/>
  <c r="K116" i="79"/>
  <c r="I85" i="85" s="1"/>
  <c r="J62" i="79" l="1"/>
  <c r="H31" i="85" s="1"/>
  <c r="C31" i="85"/>
  <c r="G62" i="79"/>
  <c r="L61" i="79"/>
  <c r="J30" i="85" s="1"/>
  <c r="G30" i="85"/>
  <c r="E118" i="79"/>
  <c r="B87" i="85" s="1"/>
  <c r="K117" i="79"/>
  <c r="I86" i="85" s="1"/>
  <c r="H62" i="79" l="1"/>
  <c r="D31" i="85"/>
  <c r="E31" i="85" s="1"/>
  <c r="E119" i="79"/>
  <c r="B88" i="85" s="1"/>
  <c r="K118" i="79"/>
  <c r="I87" i="85" s="1"/>
  <c r="I62" i="79" l="1"/>
  <c r="F31" i="85"/>
  <c r="F63" i="79"/>
  <c r="E120" i="79"/>
  <c r="B89" i="85" s="1"/>
  <c r="K119" i="79"/>
  <c r="I88" i="85" s="1"/>
  <c r="J63" i="79" l="1"/>
  <c r="H32" i="85" s="1"/>
  <c r="C32" i="85"/>
  <c r="G63" i="79"/>
  <c r="L62" i="79"/>
  <c r="J31" i="85" s="1"/>
  <c r="G31" i="85"/>
  <c r="E121" i="79"/>
  <c r="B90" i="85" s="1"/>
  <c r="K120" i="79"/>
  <c r="I89" i="85" s="1"/>
  <c r="H63" i="79" l="1"/>
  <c r="D32" i="85"/>
  <c r="E32" i="85" s="1"/>
  <c r="E122" i="79"/>
  <c r="B91" i="85" s="1"/>
  <c r="K121" i="79"/>
  <c r="I90" i="85" s="1"/>
  <c r="I63" i="79" l="1"/>
  <c r="F32" i="85"/>
  <c r="F64" i="79"/>
  <c r="E123" i="79"/>
  <c r="B92" i="85" s="1"/>
  <c r="K122" i="79"/>
  <c r="I91" i="85" s="1"/>
  <c r="C33" i="85" l="1"/>
  <c r="G64" i="79"/>
  <c r="J64" i="79"/>
  <c r="H33" i="85" s="1"/>
  <c r="L63" i="79"/>
  <c r="J32" i="85" s="1"/>
  <c r="G32" i="85"/>
  <c r="E124" i="79"/>
  <c r="B93" i="85" s="1"/>
  <c r="K123" i="79"/>
  <c r="I92" i="85" s="1"/>
  <c r="H64" i="79" l="1"/>
  <c r="D33" i="85"/>
  <c r="E33" i="85" s="1"/>
  <c r="E125" i="79"/>
  <c r="B94" i="85" s="1"/>
  <c r="K124" i="79"/>
  <c r="I93" i="85" s="1"/>
  <c r="I64" i="79" l="1"/>
  <c r="F33" i="85"/>
  <c r="F65" i="79"/>
  <c r="E126" i="79"/>
  <c r="B95" i="85" s="1"/>
  <c r="K125" i="79"/>
  <c r="I94" i="85" s="1"/>
  <c r="C34" i="85" l="1"/>
  <c r="G65" i="79"/>
  <c r="J65" i="79"/>
  <c r="H34" i="85" s="1"/>
  <c r="G33" i="85"/>
  <c r="L64" i="79"/>
  <c r="J33" i="85" s="1"/>
  <c r="E127" i="79"/>
  <c r="B96" i="85" s="1"/>
  <c r="K126" i="79"/>
  <c r="I95" i="85" s="1"/>
  <c r="H65" i="79" l="1"/>
  <c r="D34" i="85"/>
  <c r="E34" i="85" s="1"/>
  <c r="E128" i="79"/>
  <c r="B97" i="85" s="1"/>
  <c r="K127" i="79"/>
  <c r="I96" i="85" s="1"/>
  <c r="I65" i="79" l="1"/>
  <c r="F34" i="85"/>
  <c r="F66" i="79"/>
  <c r="E129" i="79"/>
  <c r="B98" i="85" s="1"/>
  <c r="K128" i="79"/>
  <c r="I97" i="85" s="1"/>
  <c r="C35" i="85" l="1"/>
  <c r="J66" i="79"/>
  <c r="H35" i="85" s="1"/>
  <c r="G66" i="79"/>
  <c r="G34" i="85"/>
  <c r="L65" i="79"/>
  <c r="J34" i="85" s="1"/>
  <c r="E130" i="79"/>
  <c r="B99" i="85" s="1"/>
  <c r="K129" i="79"/>
  <c r="I98" i="85" s="1"/>
  <c r="H66" i="79" l="1"/>
  <c r="D35" i="85"/>
  <c r="E35" i="85" s="1"/>
  <c r="E131" i="79"/>
  <c r="B100" i="85" s="1"/>
  <c r="K130" i="79"/>
  <c r="I99" i="85" s="1"/>
  <c r="I66" i="79" l="1"/>
  <c r="F35" i="85"/>
  <c r="F67" i="79"/>
  <c r="E132" i="79"/>
  <c r="B101" i="85" s="1"/>
  <c r="K131" i="79"/>
  <c r="I100" i="85" s="1"/>
  <c r="G67" i="79" l="1"/>
  <c r="C36" i="85"/>
  <c r="J67" i="79"/>
  <c r="G35" i="85"/>
  <c r="L66" i="79"/>
  <c r="J35" i="85" s="1"/>
  <c r="E133" i="79"/>
  <c r="B102" i="85" s="1"/>
  <c r="K132" i="79"/>
  <c r="I101" i="85" s="1"/>
  <c r="H36" i="85" l="1"/>
  <c r="H67" i="79"/>
  <c r="D36" i="85"/>
  <c r="E36" i="85" s="1"/>
  <c r="E134" i="79"/>
  <c r="B103" i="85" s="1"/>
  <c r="K133" i="79"/>
  <c r="I102" i="85" s="1"/>
  <c r="I67" i="79" l="1"/>
  <c r="F36" i="85"/>
  <c r="F68" i="79"/>
  <c r="E135" i="79"/>
  <c r="B104" i="85" s="1"/>
  <c r="K134" i="79"/>
  <c r="I103" i="85" s="1"/>
  <c r="C37" i="85" l="1"/>
  <c r="J68" i="79"/>
  <c r="H37" i="85" s="1"/>
  <c r="G68" i="79"/>
  <c r="G36" i="85"/>
  <c r="L67" i="79"/>
  <c r="J36" i="85" s="1"/>
  <c r="E136" i="79"/>
  <c r="B105" i="85" s="1"/>
  <c r="K135" i="79"/>
  <c r="I104" i="85" s="1"/>
  <c r="H68" i="79" l="1"/>
  <c r="D37" i="85"/>
  <c r="E37" i="85" s="1"/>
  <c r="E137" i="79"/>
  <c r="B106" i="85" s="1"/>
  <c r="K136" i="79"/>
  <c r="I105" i="85" s="1"/>
  <c r="I68" i="79" l="1"/>
  <c r="F37" i="85"/>
  <c r="F69" i="79"/>
  <c r="E138" i="79"/>
  <c r="B107" i="85" s="1"/>
  <c r="K137" i="79"/>
  <c r="I106" i="85" s="1"/>
  <c r="C38" i="85" l="1"/>
  <c r="J69" i="79"/>
  <c r="H38" i="85" s="1"/>
  <c r="G69" i="79"/>
  <c r="G37" i="85"/>
  <c r="L68" i="79"/>
  <c r="J37" i="85" s="1"/>
  <c r="E139" i="79"/>
  <c r="B108" i="85" s="1"/>
  <c r="K138" i="79"/>
  <c r="I107" i="85" s="1"/>
  <c r="H69" i="79" l="1"/>
  <c r="D38" i="85"/>
  <c r="E38" i="85" s="1"/>
  <c r="E140" i="79"/>
  <c r="B109" i="85" s="1"/>
  <c r="K139" i="79"/>
  <c r="I108" i="85" s="1"/>
  <c r="I69" i="79" l="1"/>
  <c r="F38" i="85"/>
  <c r="F70" i="79"/>
  <c r="E141" i="79"/>
  <c r="B110" i="85" s="1"/>
  <c r="K140" i="79"/>
  <c r="I109" i="85" s="1"/>
  <c r="C39" i="85" l="1"/>
  <c r="J70" i="79"/>
  <c r="H39" i="85" s="1"/>
  <c r="G70" i="79"/>
  <c r="G38" i="85"/>
  <c r="L69" i="79"/>
  <c r="J38" i="85" s="1"/>
  <c r="E142" i="79"/>
  <c r="B111" i="85" s="1"/>
  <c r="K141" i="79"/>
  <c r="I110" i="85" s="1"/>
  <c r="H70" i="79" l="1"/>
  <c r="D39" i="85"/>
  <c r="E39" i="85" s="1"/>
  <c r="E143" i="79"/>
  <c r="B112" i="85" s="1"/>
  <c r="K142" i="79"/>
  <c r="I111" i="85" s="1"/>
  <c r="I70" i="79" l="1"/>
  <c r="F39" i="85"/>
  <c r="F71" i="79"/>
  <c r="E144" i="79"/>
  <c r="B113" i="85" s="1"/>
  <c r="K143" i="79"/>
  <c r="I112" i="85" s="1"/>
  <c r="C40" i="85" l="1"/>
  <c r="J71" i="79"/>
  <c r="H40" i="85" s="1"/>
  <c r="G71" i="79"/>
  <c r="G39" i="85"/>
  <c r="L70" i="79"/>
  <c r="J39" i="85" s="1"/>
  <c r="E145" i="79"/>
  <c r="B114" i="85" s="1"/>
  <c r="K144" i="79"/>
  <c r="I113" i="85" s="1"/>
  <c r="H71" i="79" l="1"/>
  <c r="D40" i="85"/>
  <c r="E40" i="85" s="1"/>
  <c r="E146" i="79"/>
  <c r="B115" i="85" s="1"/>
  <c r="K145" i="79"/>
  <c r="I114" i="85" s="1"/>
  <c r="I71" i="79" l="1"/>
  <c r="F40" i="85"/>
  <c r="F72" i="79"/>
  <c r="E147" i="79"/>
  <c r="B116" i="85" s="1"/>
  <c r="K146" i="79"/>
  <c r="I115" i="85" s="1"/>
  <c r="C41" i="85" l="1"/>
  <c r="J72" i="79"/>
  <c r="H41" i="85" s="1"/>
  <c r="G72" i="79"/>
  <c r="G40" i="85"/>
  <c r="L71" i="79"/>
  <c r="J40" i="85" s="1"/>
  <c r="E148" i="79"/>
  <c r="B117" i="85" s="1"/>
  <c r="K147" i="79"/>
  <c r="I116" i="85" s="1"/>
  <c r="H72" i="79" l="1"/>
  <c r="D41" i="85"/>
  <c r="E41" i="85" s="1"/>
  <c r="E149" i="79"/>
  <c r="B118" i="85" s="1"/>
  <c r="K148" i="79"/>
  <c r="I117" i="85" s="1"/>
  <c r="I72" i="79" l="1"/>
  <c r="F41" i="85"/>
  <c r="F73" i="79"/>
  <c r="E150" i="79"/>
  <c r="B119" i="85" s="1"/>
  <c r="K149" i="79"/>
  <c r="I118" i="85" s="1"/>
  <c r="C42" i="85" l="1"/>
  <c r="J73" i="79"/>
  <c r="H42" i="85" s="1"/>
  <c r="G73" i="79"/>
  <c r="G41" i="85"/>
  <c r="L72" i="79"/>
  <c r="J41" i="85" s="1"/>
  <c r="E151" i="79"/>
  <c r="B120" i="85" s="1"/>
  <c r="K150" i="79"/>
  <c r="I119" i="85" s="1"/>
  <c r="H73" i="79" l="1"/>
  <c r="D42" i="85"/>
  <c r="E42" i="85" s="1"/>
  <c r="E152" i="79"/>
  <c r="B121" i="85" s="1"/>
  <c r="K151" i="79"/>
  <c r="I120" i="85" s="1"/>
  <c r="I73" i="79" l="1"/>
  <c r="F42" i="85"/>
  <c r="F74" i="79"/>
  <c r="E153" i="79"/>
  <c r="B122" i="85" s="1"/>
  <c r="K152" i="79"/>
  <c r="I121" i="85" s="1"/>
  <c r="C43" i="85" l="1"/>
  <c r="J74" i="79"/>
  <c r="H43" i="85" s="1"/>
  <c r="G74" i="79"/>
  <c r="G42" i="85"/>
  <c r="L73" i="79"/>
  <c r="J42" i="85" s="1"/>
  <c r="E154" i="79"/>
  <c r="B123" i="85" s="1"/>
  <c r="K153" i="79"/>
  <c r="I122" i="85" s="1"/>
  <c r="H74" i="79" l="1"/>
  <c r="D43" i="85"/>
  <c r="E43" i="85" s="1"/>
  <c r="E155" i="79"/>
  <c r="B124" i="85" s="1"/>
  <c r="K154" i="79"/>
  <c r="I123" i="85" s="1"/>
  <c r="I74" i="79" l="1"/>
  <c r="F43" i="85"/>
  <c r="F75" i="79"/>
  <c r="E156" i="79"/>
  <c r="B125" i="85" s="1"/>
  <c r="K155" i="79"/>
  <c r="I124" i="85" s="1"/>
  <c r="C44" i="85" l="1"/>
  <c r="J75" i="79"/>
  <c r="H44" i="85" s="1"/>
  <c r="G75" i="79"/>
  <c r="G43" i="85"/>
  <c r="L74" i="79"/>
  <c r="J43" i="85" s="1"/>
  <c r="E157" i="79"/>
  <c r="B126" i="85" s="1"/>
  <c r="K156" i="79"/>
  <c r="I125" i="85" s="1"/>
  <c r="H75" i="79" l="1"/>
  <c r="D44" i="85"/>
  <c r="E44" i="85" s="1"/>
  <c r="E158" i="79"/>
  <c r="B127" i="85" s="1"/>
  <c r="K157" i="79"/>
  <c r="I126" i="85" s="1"/>
  <c r="I75" i="79" l="1"/>
  <c r="F44" i="85"/>
  <c r="F76" i="79"/>
  <c r="E159" i="79"/>
  <c r="B128" i="85" s="1"/>
  <c r="K158" i="79"/>
  <c r="I127" i="85" s="1"/>
  <c r="C45" i="85" l="1"/>
  <c r="J76" i="79"/>
  <c r="H45" i="85" s="1"/>
  <c r="G76" i="79"/>
  <c r="G44" i="85"/>
  <c r="L75" i="79"/>
  <c r="J44" i="85" s="1"/>
  <c r="E160" i="79"/>
  <c r="B129" i="85" s="1"/>
  <c r="K159" i="79"/>
  <c r="I128" i="85" s="1"/>
  <c r="H76" i="79" l="1"/>
  <c r="D45" i="85"/>
  <c r="E45" i="85" s="1"/>
  <c r="E161" i="79"/>
  <c r="B130" i="85" s="1"/>
  <c r="K160" i="79"/>
  <c r="I129" i="85" s="1"/>
  <c r="I76" i="79" l="1"/>
  <c r="F45" i="85"/>
  <c r="F77" i="79"/>
  <c r="E162" i="79"/>
  <c r="B131" i="85" s="1"/>
  <c r="K161" i="79"/>
  <c r="I130" i="85" s="1"/>
  <c r="C46" i="85" l="1"/>
  <c r="J77" i="79"/>
  <c r="H46" i="85" s="1"/>
  <c r="G77" i="79"/>
  <c r="G45" i="85"/>
  <c r="L76" i="79"/>
  <c r="J45" i="85" s="1"/>
  <c r="E163" i="79"/>
  <c r="B132" i="85" s="1"/>
  <c r="K162" i="79"/>
  <c r="I131" i="85" s="1"/>
  <c r="H77" i="79" l="1"/>
  <c r="D46" i="85"/>
  <c r="E46" i="85" s="1"/>
  <c r="E164" i="79"/>
  <c r="B133" i="85" s="1"/>
  <c r="K163" i="79"/>
  <c r="I132" i="85" s="1"/>
  <c r="I77" i="79" l="1"/>
  <c r="F46" i="85"/>
  <c r="F78" i="79"/>
  <c r="E165" i="79"/>
  <c r="B134" i="85" s="1"/>
  <c r="K164" i="79"/>
  <c r="I133" i="85" s="1"/>
  <c r="C47" i="85" l="1"/>
  <c r="J78" i="79"/>
  <c r="H47" i="85" s="1"/>
  <c r="G78" i="79"/>
  <c r="G46" i="85"/>
  <c r="L77" i="79"/>
  <c r="J46" i="85" s="1"/>
  <c r="E166" i="79"/>
  <c r="B135" i="85" s="1"/>
  <c r="K165" i="79"/>
  <c r="I134" i="85" s="1"/>
  <c r="H78" i="79" l="1"/>
  <c r="D47" i="85"/>
  <c r="E47" i="85" s="1"/>
  <c r="E167" i="79"/>
  <c r="B136" i="85" s="1"/>
  <c r="K166" i="79"/>
  <c r="I135" i="85" s="1"/>
  <c r="I78" i="79" l="1"/>
  <c r="F47" i="85"/>
  <c r="F79" i="79"/>
  <c r="E168" i="79"/>
  <c r="B137" i="85" s="1"/>
  <c r="K167" i="79"/>
  <c r="I136" i="85" s="1"/>
  <c r="C48" i="85" l="1"/>
  <c r="G79" i="79"/>
  <c r="J79" i="79"/>
  <c r="H48" i="85" s="1"/>
  <c r="G47" i="85"/>
  <c r="L78" i="79"/>
  <c r="J47" i="85" s="1"/>
  <c r="E169" i="79"/>
  <c r="B138" i="85" s="1"/>
  <c r="K168" i="79"/>
  <c r="I137" i="85" s="1"/>
  <c r="H79" i="79" l="1"/>
  <c r="D48" i="85"/>
  <c r="E48" i="85" s="1"/>
  <c r="E170" i="79"/>
  <c r="B139" i="85" s="1"/>
  <c r="K169" i="79"/>
  <c r="I138" i="85" s="1"/>
  <c r="I79" i="79" l="1"/>
  <c r="F48" i="85"/>
  <c r="F80" i="79"/>
  <c r="E171" i="79"/>
  <c r="B140" i="85" s="1"/>
  <c r="K170" i="79"/>
  <c r="I139" i="85" s="1"/>
  <c r="C49" i="85" l="1"/>
  <c r="G80" i="79"/>
  <c r="J80" i="79"/>
  <c r="H49" i="85" s="1"/>
  <c r="G48" i="85"/>
  <c r="L79" i="79"/>
  <c r="J48" i="85" s="1"/>
  <c r="E172" i="79"/>
  <c r="B141" i="85" s="1"/>
  <c r="K171" i="79"/>
  <c r="I140" i="85" s="1"/>
  <c r="H80" i="79" l="1"/>
  <c r="D49" i="85"/>
  <c r="E49" i="85" s="1"/>
  <c r="E173" i="79"/>
  <c r="B142" i="85" s="1"/>
  <c r="K172" i="79"/>
  <c r="I141" i="85" s="1"/>
  <c r="I80" i="79" l="1"/>
  <c r="F49" i="85"/>
  <c r="F81" i="79"/>
  <c r="E174" i="79"/>
  <c r="B143" i="85" s="1"/>
  <c r="K173" i="79"/>
  <c r="I142" i="85" s="1"/>
  <c r="C50" i="85" l="1"/>
  <c r="G81" i="79"/>
  <c r="J81" i="79"/>
  <c r="H50" i="85" s="1"/>
  <c r="G49" i="85"/>
  <c r="L80" i="79"/>
  <c r="J49" i="85" s="1"/>
  <c r="E175" i="79"/>
  <c r="B144" i="85" s="1"/>
  <c r="K174" i="79"/>
  <c r="I143" i="85" s="1"/>
  <c r="H81" i="79" l="1"/>
  <c r="D50" i="85"/>
  <c r="E50" i="85" s="1"/>
  <c r="E176" i="79"/>
  <c r="B145" i="85" s="1"/>
  <c r="K175" i="79"/>
  <c r="I144" i="85" s="1"/>
  <c r="I81" i="79" l="1"/>
  <c r="F50" i="85"/>
  <c r="F82" i="79"/>
  <c r="E177" i="79"/>
  <c r="B146" i="85" s="1"/>
  <c r="K176" i="79"/>
  <c r="I145" i="85" s="1"/>
  <c r="J82" i="79" l="1"/>
  <c r="H51" i="85" s="1"/>
  <c r="C51" i="85"/>
  <c r="G82" i="79"/>
  <c r="G50" i="85"/>
  <c r="L81" i="79"/>
  <c r="J50" i="85" s="1"/>
  <c r="E178" i="79"/>
  <c r="B147" i="85" s="1"/>
  <c r="K177" i="79"/>
  <c r="I146" i="85" s="1"/>
  <c r="H82" i="79" l="1"/>
  <c r="D51" i="85"/>
  <c r="E51" i="85" s="1"/>
  <c r="E179" i="79"/>
  <c r="B148" i="85" s="1"/>
  <c r="K178" i="79"/>
  <c r="I147" i="85" s="1"/>
  <c r="I82" i="79" l="1"/>
  <c r="F51" i="85"/>
  <c r="F83" i="79"/>
  <c r="E180" i="79"/>
  <c r="B149" i="85" s="1"/>
  <c r="K179" i="79"/>
  <c r="I148" i="85" s="1"/>
  <c r="J83" i="79" l="1"/>
  <c r="H52" i="85" s="1"/>
  <c r="C52" i="85"/>
  <c r="G83" i="79"/>
  <c r="L82" i="79"/>
  <c r="J51" i="85" s="1"/>
  <c r="G51" i="85"/>
  <c r="E181" i="79"/>
  <c r="B150" i="85" s="1"/>
  <c r="K180" i="79"/>
  <c r="I149" i="85" s="1"/>
  <c r="H83" i="79" l="1"/>
  <c r="D52" i="85"/>
  <c r="E52" i="85" s="1"/>
  <c r="E182" i="79"/>
  <c r="B151" i="85" s="1"/>
  <c r="K181" i="79"/>
  <c r="I150" i="85" s="1"/>
  <c r="I83" i="79" l="1"/>
  <c r="F52" i="85"/>
  <c r="F84" i="79"/>
  <c r="E183" i="79"/>
  <c r="B152" i="85" s="1"/>
  <c r="K182" i="79"/>
  <c r="I151" i="85" s="1"/>
  <c r="G84" i="79" l="1"/>
  <c r="C53" i="85"/>
  <c r="J84" i="79"/>
  <c r="H53" i="85" s="1"/>
  <c r="L83" i="79"/>
  <c r="J52" i="85" s="1"/>
  <c r="G52" i="85"/>
  <c r="E184" i="79"/>
  <c r="B153" i="85" s="1"/>
  <c r="K183" i="79"/>
  <c r="I152" i="85" s="1"/>
  <c r="H84" i="79" l="1"/>
  <c r="D53" i="85"/>
  <c r="E53" i="85" s="1"/>
  <c r="E185" i="79"/>
  <c r="B154" i="85" s="1"/>
  <c r="K184" i="79"/>
  <c r="I153" i="85" s="1"/>
  <c r="F53" i="85" l="1"/>
  <c r="I84" i="79"/>
  <c r="F85" i="79"/>
  <c r="E186" i="79"/>
  <c r="B155" i="85" s="1"/>
  <c r="K185" i="79"/>
  <c r="I154" i="85" s="1"/>
  <c r="C54" i="85" l="1"/>
  <c r="J85" i="79"/>
  <c r="H54" i="85" s="1"/>
  <c r="G85" i="79"/>
  <c r="G53" i="85"/>
  <c r="L84" i="79"/>
  <c r="J53" i="85" s="1"/>
  <c r="E187" i="79"/>
  <c r="B156" i="85" s="1"/>
  <c r="K186" i="79"/>
  <c r="I155" i="85" s="1"/>
  <c r="H85" i="79" l="1"/>
  <c r="D54" i="85"/>
  <c r="E54" i="85" s="1"/>
  <c r="E188" i="79"/>
  <c r="B157" i="85" s="1"/>
  <c r="K187" i="79"/>
  <c r="I156" i="85" s="1"/>
  <c r="F54" i="85" l="1"/>
  <c r="I85" i="79"/>
  <c r="F86" i="79"/>
  <c r="E189" i="79"/>
  <c r="B158" i="85" s="1"/>
  <c r="K188" i="79"/>
  <c r="I157" i="85" s="1"/>
  <c r="C55" i="85" l="1"/>
  <c r="J86" i="79"/>
  <c r="H55" i="85" s="1"/>
  <c r="G86" i="79"/>
  <c r="L85" i="79"/>
  <c r="J54" i="85" s="1"/>
  <c r="G54" i="85"/>
  <c r="E190" i="79"/>
  <c r="B159" i="85" s="1"/>
  <c r="K189" i="79"/>
  <c r="I158" i="85" s="1"/>
  <c r="H86" i="79" l="1"/>
  <c r="D55" i="85"/>
  <c r="E55" i="85" s="1"/>
  <c r="E191" i="79"/>
  <c r="B160" i="85" s="1"/>
  <c r="K190" i="79"/>
  <c r="I159" i="85" s="1"/>
  <c r="F55" i="85" l="1"/>
  <c r="I86" i="79"/>
  <c r="F87" i="79"/>
  <c r="E192" i="79"/>
  <c r="B161" i="85" s="1"/>
  <c r="K191" i="79"/>
  <c r="I160" i="85" s="1"/>
  <c r="C56" i="85" l="1"/>
  <c r="G87" i="79"/>
  <c r="J87" i="79"/>
  <c r="H56" i="85" s="1"/>
  <c r="L86" i="79"/>
  <c r="J55" i="85" s="1"/>
  <c r="G55" i="85"/>
  <c r="E193" i="79"/>
  <c r="B162" i="85" s="1"/>
  <c r="K192" i="79"/>
  <c r="I161" i="85" s="1"/>
  <c r="H87" i="79" l="1"/>
  <c r="D56" i="85"/>
  <c r="E56" i="85" s="1"/>
  <c r="E194" i="79"/>
  <c r="B163" i="85" s="1"/>
  <c r="K193" i="79"/>
  <c r="I162" i="85" s="1"/>
  <c r="I87" i="79" l="1"/>
  <c r="F56" i="85"/>
  <c r="F88" i="79"/>
  <c r="E195" i="79"/>
  <c r="B164" i="85" s="1"/>
  <c r="K194" i="79"/>
  <c r="I163" i="85" s="1"/>
  <c r="C57" i="85" l="1"/>
  <c r="G88" i="79"/>
  <c r="J88" i="79"/>
  <c r="H57" i="85" s="1"/>
  <c r="G56" i="85"/>
  <c r="L87" i="79"/>
  <c r="J56" i="85" s="1"/>
  <c r="E196" i="79"/>
  <c r="B165" i="85" s="1"/>
  <c r="K195" i="79"/>
  <c r="I164" i="85" s="1"/>
  <c r="H88" i="79" l="1"/>
  <c r="D57" i="85"/>
  <c r="E57" i="85" s="1"/>
  <c r="E197" i="79"/>
  <c r="B166" i="85" s="1"/>
  <c r="K196" i="79"/>
  <c r="I165" i="85" s="1"/>
  <c r="I88" i="79" l="1"/>
  <c r="F57" i="85"/>
  <c r="F89" i="79"/>
  <c r="E198" i="79"/>
  <c r="B167" i="85" s="1"/>
  <c r="K197" i="79"/>
  <c r="I166" i="85" s="1"/>
  <c r="C58" i="85" l="1"/>
  <c r="J89" i="79"/>
  <c r="H58" i="85" s="1"/>
  <c r="G89" i="79"/>
  <c r="G57" i="85"/>
  <c r="L88" i="79"/>
  <c r="J57" i="85" s="1"/>
  <c r="E199" i="79"/>
  <c r="B168" i="85" s="1"/>
  <c r="K198" i="79"/>
  <c r="I167" i="85" s="1"/>
  <c r="H89" i="79" l="1"/>
  <c r="D58" i="85"/>
  <c r="E58" i="85" s="1"/>
  <c r="E200" i="79"/>
  <c r="B169" i="85" s="1"/>
  <c r="K199" i="79"/>
  <c r="I168" i="85" s="1"/>
  <c r="I89" i="79" l="1"/>
  <c r="F58" i="85"/>
  <c r="F90" i="79"/>
  <c r="E201" i="79"/>
  <c r="B170" i="85" s="1"/>
  <c r="K200" i="79"/>
  <c r="I169" i="85" s="1"/>
  <c r="J90" i="79" l="1"/>
  <c r="H59" i="85" s="1"/>
  <c r="C59" i="85"/>
  <c r="G90" i="79"/>
  <c r="G58" i="85"/>
  <c r="L89" i="79"/>
  <c r="J58" i="85" s="1"/>
  <c r="E202" i="79"/>
  <c r="B171" i="85" s="1"/>
  <c r="K201" i="79"/>
  <c r="I170" i="85" s="1"/>
  <c r="H90" i="79" l="1"/>
  <c r="D59" i="85"/>
  <c r="E59" i="85" s="1"/>
  <c r="E203" i="79"/>
  <c r="B172" i="85" s="1"/>
  <c r="K202" i="79"/>
  <c r="I171" i="85" s="1"/>
  <c r="I90" i="79" l="1"/>
  <c r="F59" i="85"/>
  <c r="F91" i="79"/>
  <c r="E204" i="79"/>
  <c r="B173" i="85" s="1"/>
  <c r="K203" i="79"/>
  <c r="I172" i="85" s="1"/>
  <c r="J91" i="79" l="1"/>
  <c r="H60" i="85" s="1"/>
  <c r="C60" i="85"/>
  <c r="G91" i="79"/>
  <c r="L90" i="79"/>
  <c r="J59" i="85" s="1"/>
  <c r="G59" i="85"/>
  <c r="E205" i="79"/>
  <c r="B174" i="85" s="1"/>
  <c r="K204" i="79"/>
  <c r="I173" i="85" s="1"/>
  <c r="H91" i="79" l="1"/>
  <c r="D60" i="85"/>
  <c r="E60" i="85" s="1"/>
  <c r="E206" i="79"/>
  <c r="B175" i="85" s="1"/>
  <c r="K205" i="79"/>
  <c r="I174" i="85" s="1"/>
  <c r="I91" i="79" l="1"/>
  <c r="F60" i="85"/>
  <c r="F92" i="79"/>
  <c r="E207" i="79"/>
  <c r="B176" i="85" s="1"/>
  <c r="K206" i="79"/>
  <c r="I175" i="85" s="1"/>
  <c r="J92" i="79" l="1"/>
  <c r="H61" i="85" s="1"/>
  <c r="C61" i="85"/>
  <c r="G92" i="79"/>
  <c r="L91" i="79"/>
  <c r="J60" i="85" s="1"/>
  <c r="G60" i="85"/>
  <c r="E208" i="79"/>
  <c r="B177" i="85" s="1"/>
  <c r="K207" i="79"/>
  <c r="I176" i="85" s="1"/>
  <c r="H92" i="79" l="1"/>
  <c r="D61" i="85"/>
  <c r="E61" i="85" s="1"/>
  <c r="E209" i="79"/>
  <c r="B178" i="85" s="1"/>
  <c r="K208" i="79"/>
  <c r="I177" i="85" s="1"/>
  <c r="I92" i="79" l="1"/>
  <c r="F61" i="85"/>
  <c r="F93" i="79"/>
  <c r="E210" i="79"/>
  <c r="B179" i="85" s="1"/>
  <c r="K209" i="79"/>
  <c r="I178" i="85" s="1"/>
  <c r="G93" i="79" l="1"/>
  <c r="C62" i="85"/>
  <c r="J93" i="79"/>
  <c r="L92" i="79"/>
  <c r="J61" i="85" s="1"/>
  <c r="G61" i="85"/>
  <c r="E211" i="79"/>
  <c r="B180" i="85" s="1"/>
  <c r="K210" i="79"/>
  <c r="I179" i="85" s="1"/>
  <c r="H62" i="85" l="1"/>
  <c r="H93" i="79"/>
  <c r="D62" i="85"/>
  <c r="E62" i="85" s="1"/>
  <c r="E212" i="79"/>
  <c r="B181" i="85" s="1"/>
  <c r="K211" i="79"/>
  <c r="I180" i="85" s="1"/>
  <c r="I93" i="79" l="1"/>
  <c r="F62" i="85"/>
  <c r="F94" i="79"/>
  <c r="E213" i="79"/>
  <c r="B182" i="85" s="1"/>
  <c r="K212" i="79"/>
  <c r="I181" i="85" s="1"/>
  <c r="C63" i="85" l="1"/>
  <c r="G94" i="79"/>
  <c r="J94" i="79"/>
  <c r="H63" i="85" s="1"/>
  <c r="G62" i="85"/>
  <c r="L93" i="79"/>
  <c r="J62" i="85" s="1"/>
  <c r="E214" i="79"/>
  <c r="B183" i="85" s="1"/>
  <c r="K213" i="79"/>
  <c r="I182" i="85" s="1"/>
  <c r="H94" i="79" l="1"/>
  <c r="D63" i="85"/>
  <c r="E63" i="85" s="1"/>
  <c r="E215" i="79"/>
  <c r="B184" i="85" s="1"/>
  <c r="K214" i="79"/>
  <c r="I183" i="85" s="1"/>
  <c r="I94" i="79" l="1"/>
  <c r="F63" i="85"/>
  <c r="F95" i="79"/>
  <c r="E216" i="79"/>
  <c r="B185" i="85" s="1"/>
  <c r="K215" i="79"/>
  <c r="I184" i="85" s="1"/>
  <c r="C64" i="85" l="1"/>
  <c r="G95" i="79"/>
  <c r="J95" i="79"/>
  <c r="H64" i="85" s="1"/>
  <c r="G63" i="85"/>
  <c r="L94" i="79"/>
  <c r="J63" i="85" s="1"/>
  <c r="E217" i="79"/>
  <c r="B186" i="85" s="1"/>
  <c r="K216" i="79"/>
  <c r="I185" i="85" s="1"/>
  <c r="H95" i="79" l="1"/>
  <c r="D64" i="85"/>
  <c r="E64" i="85" s="1"/>
  <c r="E218" i="79"/>
  <c r="B187" i="85" s="1"/>
  <c r="K217" i="79"/>
  <c r="I186" i="85" s="1"/>
  <c r="I95" i="79" l="1"/>
  <c r="F64" i="85"/>
  <c r="F96" i="79"/>
  <c r="E219" i="79"/>
  <c r="B188" i="85" s="1"/>
  <c r="K218" i="79"/>
  <c r="I187" i="85" s="1"/>
  <c r="C65" i="85" l="1"/>
  <c r="J96" i="79"/>
  <c r="H65" i="85" s="1"/>
  <c r="G96" i="79"/>
  <c r="G64" i="85"/>
  <c r="L95" i="79"/>
  <c r="J64" i="85" s="1"/>
  <c r="E220" i="79"/>
  <c r="B189" i="85" s="1"/>
  <c r="K219" i="79"/>
  <c r="I188" i="85" s="1"/>
  <c r="H96" i="79" l="1"/>
  <c r="D65" i="85"/>
  <c r="E65" i="85" s="1"/>
  <c r="E221" i="79"/>
  <c r="B190" i="85" s="1"/>
  <c r="K220" i="79"/>
  <c r="I189" i="85" s="1"/>
  <c r="F65" i="85" l="1"/>
  <c r="I96" i="79"/>
  <c r="F97" i="79"/>
  <c r="E222" i="79"/>
  <c r="B191" i="85" s="1"/>
  <c r="K221" i="79"/>
  <c r="I190" i="85" s="1"/>
  <c r="C66" i="85" l="1"/>
  <c r="J97" i="79"/>
  <c r="H66" i="85" s="1"/>
  <c r="G97" i="79"/>
  <c r="L96" i="79"/>
  <c r="J65" i="85" s="1"/>
  <c r="G65" i="85"/>
  <c r="E223" i="79"/>
  <c r="B192" i="85" s="1"/>
  <c r="K222" i="79"/>
  <c r="I191" i="85" s="1"/>
  <c r="H97" i="79" l="1"/>
  <c r="D66" i="85"/>
  <c r="E66" i="85" s="1"/>
  <c r="E224" i="79"/>
  <c r="B193" i="85" s="1"/>
  <c r="K223" i="79"/>
  <c r="I192" i="85" s="1"/>
  <c r="F66" i="85" l="1"/>
  <c r="I97" i="79"/>
  <c r="F98" i="79"/>
  <c r="E225" i="79"/>
  <c r="B194" i="85" s="1"/>
  <c r="K224" i="79"/>
  <c r="I193" i="85" s="1"/>
  <c r="C67" i="85" l="1"/>
  <c r="J98" i="79"/>
  <c r="H67" i="85" s="1"/>
  <c r="G98" i="79"/>
  <c r="L97" i="79"/>
  <c r="J66" i="85" s="1"/>
  <c r="G66" i="85"/>
  <c r="E226" i="79"/>
  <c r="B195" i="85" s="1"/>
  <c r="K225" i="79"/>
  <c r="I194" i="85" s="1"/>
  <c r="H98" i="79" l="1"/>
  <c r="D67" i="85"/>
  <c r="E67" i="85" s="1"/>
  <c r="E227" i="79"/>
  <c r="B196" i="85" s="1"/>
  <c r="K226" i="79"/>
  <c r="I195" i="85" s="1"/>
  <c r="F67" i="85" l="1"/>
  <c r="I98" i="79"/>
  <c r="F99" i="79"/>
  <c r="E228" i="79"/>
  <c r="B197" i="85" s="1"/>
  <c r="K227" i="79"/>
  <c r="I196" i="85" s="1"/>
  <c r="C68" i="85" l="1"/>
  <c r="J99" i="79"/>
  <c r="H68" i="85" s="1"/>
  <c r="G99" i="79"/>
  <c r="L98" i="79"/>
  <c r="J67" i="85" s="1"/>
  <c r="G67" i="85"/>
  <c r="E229" i="79"/>
  <c r="B198" i="85" s="1"/>
  <c r="K228" i="79"/>
  <c r="I197" i="85" s="1"/>
  <c r="H99" i="79" l="1"/>
  <c r="D68" i="85"/>
  <c r="E68" i="85" s="1"/>
  <c r="E230" i="79"/>
  <c r="B199" i="85" s="1"/>
  <c r="K229" i="79"/>
  <c r="I198" i="85" s="1"/>
  <c r="F68" i="85" l="1"/>
  <c r="I99" i="79"/>
  <c r="F100" i="79"/>
  <c r="E231" i="79"/>
  <c r="B200" i="85" s="1"/>
  <c r="K230" i="79"/>
  <c r="I199" i="85" s="1"/>
  <c r="C69" i="85" l="1"/>
  <c r="G100" i="79"/>
  <c r="J100" i="79"/>
  <c r="H69" i="85" s="1"/>
  <c r="L99" i="79"/>
  <c r="J68" i="85" s="1"/>
  <c r="G68" i="85"/>
  <c r="E232" i="79"/>
  <c r="B201" i="85" s="1"/>
  <c r="K231" i="79"/>
  <c r="I200" i="85" s="1"/>
  <c r="H100" i="79" l="1"/>
  <c r="D69" i="85"/>
  <c r="E69" i="85" s="1"/>
  <c r="E233" i="79"/>
  <c r="B202" i="85" s="1"/>
  <c r="K232" i="79"/>
  <c r="I201" i="85" s="1"/>
  <c r="I100" i="79" l="1"/>
  <c r="F69" i="85"/>
  <c r="F101" i="79"/>
  <c r="E234" i="79"/>
  <c r="B203" i="85" s="1"/>
  <c r="K233" i="79"/>
  <c r="I202" i="85" s="1"/>
  <c r="C70" i="85" l="1"/>
  <c r="J101" i="79"/>
  <c r="H70" i="85" s="1"/>
  <c r="G101" i="79"/>
  <c r="G69" i="85"/>
  <c r="L100" i="79"/>
  <c r="J69" i="85" s="1"/>
  <c r="E235" i="79"/>
  <c r="B204" i="85" s="1"/>
  <c r="K234" i="79"/>
  <c r="I203" i="85" s="1"/>
  <c r="H101" i="79" l="1"/>
  <c r="D70" i="85"/>
  <c r="E70" i="85" s="1"/>
  <c r="E236" i="79"/>
  <c r="B205" i="85" s="1"/>
  <c r="K235" i="79"/>
  <c r="I204" i="85" s="1"/>
  <c r="F70" i="85" l="1"/>
  <c r="I101" i="79"/>
  <c r="F102" i="79"/>
  <c r="E237" i="79"/>
  <c r="B206" i="85" s="1"/>
  <c r="K236" i="79"/>
  <c r="I205" i="85" s="1"/>
  <c r="C71" i="85" l="1"/>
  <c r="G102" i="79"/>
  <c r="J102" i="79"/>
  <c r="H71" i="85" s="1"/>
  <c r="L101" i="79"/>
  <c r="J70" i="85" s="1"/>
  <c r="G70" i="85"/>
  <c r="E238" i="79"/>
  <c r="B207" i="85" s="1"/>
  <c r="K237" i="79"/>
  <c r="I206" i="85" s="1"/>
  <c r="H102" i="79" l="1"/>
  <c r="D71" i="85"/>
  <c r="E71" i="85" s="1"/>
  <c r="E239" i="79"/>
  <c r="B208" i="85" s="1"/>
  <c r="K238" i="79"/>
  <c r="I207" i="85" s="1"/>
  <c r="I102" i="79" l="1"/>
  <c r="F71" i="85"/>
  <c r="F103" i="79"/>
  <c r="E240" i="79"/>
  <c r="B209" i="85" s="1"/>
  <c r="K239" i="79"/>
  <c r="I208" i="85" s="1"/>
  <c r="G103" i="79" l="1"/>
  <c r="C72" i="85"/>
  <c r="J103" i="79"/>
  <c r="G71" i="85"/>
  <c r="L102" i="79"/>
  <c r="J71" i="85" s="1"/>
  <c r="E241" i="79"/>
  <c r="B210" i="85" s="1"/>
  <c r="K240" i="79"/>
  <c r="I209" i="85" s="1"/>
  <c r="H72" i="85" l="1"/>
  <c r="H103" i="79"/>
  <c r="D72" i="85"/>
  <c r="E72" i="85" s="1"/>
  <c r="E242" i="79"/>
  <c r="B211" i="85" s="1"/>
  <c r="K241" i="79"/>
  <c r="I210" i="85" s="1"/>
  <c r="I103" i="79" l="1"/>
  <c r="F72" i="85"/>
  <c r="F104" i="79"/>
  <c r="E243" i="79"/>
  <c r="B212" i="85" s="1"/>
  <c r="K242" i="79"/>
  <c r="I211" i="85" s="1"/>
  <c r="C73" i="85" l="1"/>
  <c r="G104" i="79"/>
  <c r="J104" i="79"/>
  <c r="H73" i="85" s="1"/>
  <c r="G72" i="85"/>
  <c r="L103" i="79"/>
  <c r="J72" i="85" s="1"/>
  <c r="E244" i="79"/>
  <c r="B213" i="85" s="1"/>
  <c r="K243" i="79"/>
  <c r="I212" i="85" s="1"/>
  <c r="H104" i="79" l="1"/>
  <c r="D73" i="85"/>
  <c r="E73" i="85" s="1"/>
  <c r="E245" i="79"/>
  <c r="B214" i="85" s="1"/>
  <c r="K244" i="79"/>
  <c r="I213" i="85" s="1"/>
  <c r="I104" i="79" l="1"/>
  <c r="F73" i="85"/>
  <c r="F105" i="79"/>
  <c r="E246" i="79"/>
  <c r="B215" i="85" s="1"/>
  <c r="K245" i="79"/>
  <c r="I214" i="85" s="1"/>
  <c r="C74" i="85" l="1"/>
  <c r="G105" i="79"/>
  <c r="J105" i="79"/>
  <c r="H74" i="85" s="1"/>
  <c r="G73" i="85"/>
  <c r="L104" i="79"/>
  <c r="J73" i="85" s="1"/>
  <c r="E247" i="79"/>
  <c r="B216" i="85" s="1"/>
  <c r="K246" i="79"/>
  <c r="I215" i="85" s="1"/>
  <c r="H105" i="79" l="1"/>
  <c r="D74" i="85"/>
  <c r="E74" i="85" s="1"/>
  <c r="E248" i="79"/>
  <c r="B217" i="85" s="1"/>
  <c r="K247" i="79"/>
  <c r="I216" i="85" s="1"/>
  <c r="I105" i="79" l="1"/>
  <c r="F74" i="85"/>
  <c r="F106" i="79"/>
  <c r="E249" i="79"/>
  <c r="B218" i="85" s="1"/>
  <c r="K248" i="79"/>
  <c r="I217" i="85" s="1"/>
  <c r="G106" i="79" l="1"/>
  <c r="C75" i="85"/>
  <c r="J106" i="79"/>
  <c r="G74" i="85"/>
  <c r="L105" i="79"/>
  <c r="J74" i="85" s="1"/>
  <c r="E250" i="79"/>
  <c r="B219" i="85" s="1"/>
  <c r="K249" i="79"/>
  <c r="I218" i="85" s="1"/>
  <c r="H75" i="85" l="1"/>
  <c r="H106" i="79"/>
  <c r="D75" i="85"/>
  <c r="E75" i="85" s="1"/>
  <c r="E251" i="79"/>
  <c r="B220" i="85" s="1"/>
  <c r="K250" i="79"/>
  <c r="I219" i="85" s="1"/>
  <c r="I106" i="79" l="1"/>
  <c r="F75" i="85"/>
  <c r="F107" i="79"/>
  <c r="E252" i="79"/>
  <c r="B221" i="85" s="1"/>
  <c r="K251" i="79"/>
  <c r="I220" i="85" s="1"/>
  <c r="G107" i="79" l="1"/>
  <c r="C76" i="85"/>
  <c r="J107" i="79"/>
  <c r="G75" i="85"/>
  <c r="L106" i="79"/>
  <c r="J75" i="85" s="1"/>
  <c r="E253" i="79"/>
  <c r="B222" i="85" s="1"/>
  <c r="K252" i="79"/>
  <c r="I221" i="85" s="1"/>
  <c r="H76" i="85" l="1"/>
  <c r="H107" i="79"/>
  <c r="D76" i="85"/>
  <c r="E76" i="85" s="1"/>
  <c r="E254" i="79"/>
  <c r="B223" i="85" s="1"/>
  <c r="K253" i="79"/>
  <c r="I222" i="85" s="1"/>
  <c r="I107" i="79" l="1"/>
  <c r="F76" i="85"/>
  <c r="F108" i="79"/>
  <c r="E255" i="79"/>
  <c r="B224" i="85" s="1"/>
  <c r="K254" i="79"/>
  <c r="I223" i="85" s="1"/>
  <c r="C77" i="85" l="1"/>
  <c r="G108" i="79"/>
  <c r="J108" i="79"/>
  <c r="H77" i="85" s="1"/>
  <c r="G76" i="85"/>
  <c r="L107" i="79"/>
  <c r="J76" i="85" s="1"/>
  <c r="E256" i="79"/>
  <c r="B225" i="85" s="1"/>
  <c r="K255" i="79"/>
  <c r="I224" i="85" s="1"/>
  <c r="H108" i="79" l="1"/>
  <c r="D77" i="85"/>
  <c r="E77" i="85" s="1"/>
  <c r="E257" i="79"/>
  <c r="B226" i="85" s="1"/>
  <c r="K256" i="79"/>
  <c r="I225" i="85" s="1"/>
  <c r="F77" i="85" l="1"/>
  <c r="I108" i="79"/>
  <c r="F109" i="79"/>
  <c r="E258" i="79"/>
  <c r="B227" i="85" s="1"/>
  <c r="K257" i="79"/>
  <c r="I226" i="85" s="1"/>
  <c r="C78" i="85" l="1"/>
  <c r="J109" i="79"/>
  <c r="H78" i="85" s="1"/>
  <c r="G109" i="79"/>
  <c r="L108" i="79"/>
  <c r="J77" i="85" s="1"/>
  <c r="G77" i="85"/>
  <c r="E259" i="79"/>
  <c r="B228" i="85" s="1"/>
  <c r="K258" i="79"/>
  <c r="I227" i="85" s="1"/>
  <c r="H109" i="79" l="1"/>
  <c r="D78" i="85"/>
  <c r="E78" i="85" s="1"/>
  <c r="E260" i="79"/>
  <c r="B229" i="85" s="1"/>
  <c r="K259" i="79"/>
  <c r="I228" i="85" s="1"/>
  <c r="I109" i="79" l="1"/>
  <c r="F78" i="85"/>
  <c r="F110" i="79"/>
  <c r="E261" i="79"/>
  <c r="B230" i="85" s="1"/>
  <c r="K260" i="79"/>
  <c r="I229" i="85" s="1"/>
  <c r="C79" i="85" l="1"/>
  <c r="J110" i="79"/>
  <c r="H79" i="85" s="1"/>
  <c r="G110" i="79"/>
  <c r="G78" i="85"/>
  <c r="L109" i="79"/>
  <c r="J78" i="85" s="1"/>
  <c r="E262" i="79"/>
  <c r="B231" i="85" s="1"/>
  <c r="K261" i="79"/>
  <c r="I230" i="85" s="1"/>
  <c r="H110" i="79" l="1"/>
  <c r="D79" i="85"/>
  <c r="E79" i="85" s="1"/>
  <c r="E263" i="79"/>
  <c r="B232" i="85" s="1"/>
  <c r="K262" i="79"/>
  <c r="I231" i="85" s="1"/>
  <c r="F79" i="85" l="1"/>
  <c r="I110" i="79"/>
  <c r="F111" i="79"/>
  <c r="E264" i="79"/>
  <c r="B233" i="85" s="1"/>
  <c r="K263" i="79"/>
  <c r="I232" i="85" s="1"/>
  <c r="C80" i="85" l="1"/>
  <c r="J111" i="79"/>
  <c r="H80" i="85" s="1"/>
  <c r="G111" i="79"/>
  <c r="L110" i="79"/>
  <c r="J79" i="85" s="1"/>
  <c r="G79" i="85"/>
  <c r="E265" i="79"/>
  <c r="B234" i="85" s="1"/>
  <c r="K264" i="79"/>
  <c r="I233" i="85" s="1"/>
  <c r="H111" i="79" l="1"/>
  <c r="D80" i="85"/>
  <c r="E80" i="85" s="1"/>
  <c r="E266" i="79"/>
  <c r="B235" i="85" s="1"/>
  <c r="K265" i="79"/>
  <c r="I234" i="85" s="1"/>
  <c r="F80" i="85" l="1"/>
  <c r="I111" i="79"/>
  <c r="F112" i="79"/>
  <c r="E267" i="79"/>
  <c r="B236" i="85" s="1"/>
  <c r="K266" i="79"/>
  <c r="I235" i="85" s="1"/>
  <c r="C81" i="85" l="1"/>
  <c r="G112" i="79"/>
  <c r="J112" i="79"/>
  <c r="H81" i="85" s="1"/>
  <c r="L111" i="79"/>
  <c r="J80" i="85" s="1"/>
  <c r="G80" i="85"/>
  <c r="E268" i="79"/>
  <c r="B237" i="85" s="1"/>
  <c r="K267" i="79"/>
  <c r="I236" i="85" s="1"/>
  <c r="H112" i="79" l="1"/>
  <c r="D81" i="85"/>
  <c r="E81" i="85" s="1"/>
  <c r="E269" i="79"/>
  <c r="B238" i="85" s="1"/>
  <c r="K268" i="79"/>
  <c r="I237" i="85" s="1"/>
  <c r="F81" i="85" l="1"/>
  <c r="I112" i="79"/>
  <c r="F113" i="79"/>
  <c r="E270" i="79"/>
  <c r="B239" i="85" s="1"/>
  <c r="K269" i="79"/>
  <c r="I238" i="85" s="1"/>
  <c r="C82" i="85" l="1"/>
  <c r="G113" i="79"/>
  <c r="J113" i="79"/>
  <c r="H82" i="85" s="1"/>
  <c r="L112" i="79"/>
  <c r="J81" i="85" s="1"/>
  <c r="G81" i="85"/>
  <c r="E271" i="79"/>
  <c r="B240" i="85" s="1"/>
  <c r="K270" i="79"/>
  <c r="I239" i="85" s="1"/>
  <c r="H113" i="79" l="1"/>
  <c r="D82" i="85"/>
  <c r="E82" i="85" s="1"/>
  <c r="E272" i="79"/>
  <c r="B241" i="85" s="1"/>
  <c r="K271" i="79"/>
  <c r="I240" i="85" s="1"/>
  <c r="F82" i="85" l="1"/>
  <c r="I113" i="79"/>
  <c r="F114" i="79"/>
  <c r="E273" i="79"/>
  <c r="B242" i="85" s="1"/>
  <c r="K272" i="79"/>
  <c r="I241" i="85" s="1"/>
  <c r="C83" i="85" l="1"/>
  <c r="J114" i="79"/>
  <c r="H83" i="85" s="1"/>
  <c r="G114" i="79"/>
  <c r="L113" i="79"/>
  <c r="J82" i="85" s="1"/>
  <c r="G82" i="85"/>
  <c r="E274" i="79"/>
  <c r="B243" i="85" s="1"/>
  <c r="K273" i="79"/>
  <c r="I242" i="85" s="1"/>
  <c r="H114" i="79" l="1"/>
  <c r="D83" i="85"/>
  <c r="E83" i="85" s="1"/>
  <c r="E275" i="79"/>
  <c r="K274" i="79"/>
  <c r="I243" i="85" s="1"/>
  <c r="K275" i="79" l="1"/>
  <c r="I244" i="85" s="1"/>
  <c r="B244" i="85"/>
  <c r="F83" i="85"/>
  <c r="I114" i="79"/>
  <c r="F115" i="79"/>
  <c r="K276" i="79"/>
  <c r="I3" i="85" s="1"/>
  <c r="C84" i="85" l="1"/>
  <c r="J115" i="79"/>
  <c r="H84" i="85" s="1"/>
  <c r="G115" i="79"/>
  <c r="L114" i="79"/>
  <c r="J83" i="85" s="1"/>
  <c r="G83" i="85"/>
  <c r="H115" i="79" l="1"/>
  <c r="D84" i="85"/>
  <c r="E84" i="85" s="1"/>
  <c r="F84" i="85" l="1"/>
  <c r="I115" i="79"/>
  <c r="F116" i="79"/>
  <c r="C85" i="85" l="1"/>
  <c r="G116" i="79"/>
  <c r="J116" i="79"/>
  <c r="H85" i="85" s="1"/>
  <c r="L115" i="79"/>
  <c r="J84" i="85" s="1"/>
  <c r="G84" i="85"/>
  <c r="H116" i="79" l="1"/>
  <c r="D85" i="85"/>
  <c r="E85" i="85" s="1"/>
  <c r="F85" i="85" l="1"/>
  <c r="I116" i="79"/>
  <c r="F117" i="79"/>
  <c r="C86" i="85" l="1"/>
  <c r="J117" i="79"/>
  <c r="H86" i="85" s="1"/>
  <c r="G117" i="79"/>
  <c r="L116" i="79"/>
  <c r="J85" i="85" s="1"/>
  <c r="G85" i="85"/>
  <c r="H117" i="79" l="1"/>
  <c r="D86" i="85"/>
  <c r="E86" i="85" s="1"/>
  <c r="F86" i="85" l="1"/>
  <c r="I117" i="79"/>
  <c r="F118" i="79"/>
  <c r="C87" i="85" l="1"/>
  <c r="G118" i="79"/>
  <c r="J118" i="79"/>
  <c r="H87" i="85" s="1"/>
  <c r="L117" i="79"/>
  <c r="J86" i="85" s="1"/>
  <c r="G86" i="85"/>
  <c r="H118" i="79" l="1"/>
  <c r="D87" i="85"/>
  <c r="E87" i="85" s="1"/>
  <c r="F87" i="85" l="1"/>
  <c r="I118" i="79"/>
  <c r="F119" i="79"/>
  <c r="C88" i="85" l="1"/>
  <c r="J119" i="79"/>
  <c r="H88" i="85" s="1"/>
  <c r="G119" i="79"/>
  <c r="L118" i="79"/>
  <c r="J87" i="85" s="1"/>
  <c r="G87" i="85"/>
  <c r="H119" i="79" l="1"/>
  <c r="D88" i="85"/>
  <c r="E88" i="85" s="1"/>
  <c r="F88" i="85" l="1"/>
  <c r="I119" i="79"/>
  <c r="F120" i="79"/>
  <c r="C89" i="85" l="1"/>
  <c r="G120" i="79"/>
  <c r="J120" i="79"/>
  <c r="H89" i="85" s="1"/>
  <c r="L119" i="79"/>
  <c r="J88" i="85" s="1"/>
  <c r="G88" i="85"/>
  <c r="H120" i="79" l="1"/>
  <c r="D89" i="85"/>
  <c r="E89" i="85" s="1"/>
  <c r="F89" i="85" l="1"/>
  <c r="I120" i="79"/>
  <c r="F121" i="79"/>
  <c r="C90" i="85" l="1"/>
  <c r="J121" i="79"/>
  <c r="H90" i="85" s="1"/>
  <c r="G121" i="79"/>
  <c r="L120" i="79"/>
  <c r="J89" i="85" s="1"/>
  <c r="G89" i="85"/>
  <c r="H121" i="79" l="1"/>
  <c r="D90" i="85"/>
  <c r="E90" i="85" s="1"/>
  <c r="F90" i="85" l="1"/>
  <c r="I121" i="79"/>
  <c r="F122" i="79"/>
  <c r="C91" i="85" l="1"/>
  <c r="G122" i="79"/>
  <c r="J122" i="79"/>
  <c r="H91" i="85" s="1"/>
  <c r="L121" i="79"/>
  <c r="J90" i="85" s="1"/>
  <c r="G90" i="85"/>
  <c r="H122" i="79" l="1"/>
  <c r="D91" i="85"/>
  <c r="E91" i="85" s="1"/>
  <c r="F91" i="85" l="1"/>
  <c r="I122" i="79"/>
  <c r="F123" i="79"/>
  <c r="C92" i="85" l="1"/>
  <c r="J123" i="79"/>
  <c r="H92" i="85" s="1"/>
  <c r="G123" i="79"/>
  <c r="L122" i="79"/>
  <c r="J91" i="85" s="1"/>
  <c r="G91" i="85"/>
  <c r="H123" i="79" l="1"/>
  <c r="D92" i="85"/>
  <c r="E92" i="85" s="1"/>
  <c r="F92" i="85" l="1"/>
  <c r="I123" i="79"/>
  <c r="F124" i="79"/>
  <c r="C93" i="85" l="1"/>
  <c r="J124" i="79"/>
  <c r="H93" i="85" s="1"/>
  <c r="G124" i="79"/>
  <c r="L123" i="79"/>
  <c r="J92" i="85" s="1"/>
  <c r="G92" i="85"/>
  <c r="H124" i="79" l="1"/>
  <c r="D93" i="85"/>
  <c r="E93" i="85" s="1"/>
  <c r="F93" i="85" l="1"/>
  <c r="I124" i="79"/>
  <c r="F125" i="79"/>
  <c r="C94" i="85" l="1"/>
  <c r="G125" i="79"/>
  <c r="J125" i="79"/>
  <c r="H94" i="85" s="1"/>
  <c r="L124" i="79"/>
  <c r="J93" i="85" s="1"/>
  <c r="G93" i="85"/>
  <c r="H125" i="79" l="1"/>
  <c r="D94" i="85"/>
  <c r="E94" i="85" s="1"/>
  <c r="F94" i="85" l="1"/>
  <c r="I125" i="79"/>
  <c r="F126" i="79"/>
  <c r="C95" i="85" l="1"/>
  <c r="G126" i="79"/>
  <c r="J126" i="79"/>
  <c r="H95" i="85" s="1"/>
  <c r="L125" i="79"/>
  <c r="J94" i="85" s="1"/>
  <c r="G94" i="85"/>
  <c r="H126" i="79" l="1"/>
  <c r="D95" i="85"/>
  <c r="E95" i="85" s="1"/>
  <c r="I126" i="79" l="1"/>
  <c r="F95" i="85"/>
  <c r="F127" i="79"/>
  <c r="C96" i="85" l="1"/>
  <c r="G127" i="79"/>
  <c r="J127" i="79"/>
  <c r="H96" i="85" s="1"/>
  <c r="G95" i="85"/>
  <c r="L126" i="79"/>
  <c r="J95" i="85" s="1"/>
  <c r="H127" i="79" l="1"/>
  <c r="D96" i="85"/>
  <c r="E96" i="85" s="1"/>
  <c r="F96" i="85" l="1"/>
  <c r="I127" i="79"/>
  <c r="F128" i="79"/>
  <c r="C97" i="85" l="1"/>
  <c r="G128" i="79"/>
  <c r="J128" i="79"/>
  <c r="H97" i="85" s="1"/>
  <c r="L127" i="79"/>
  <c r="J96" i="85" s="1"/>
  <c r="G96" i="85"/>
  <c r="H128" i="79" l="1"/>
  <c r="D97" i="85"/>
  <c r="E97" i="85" s="1"/>
  <c r="F97" i="85" l="1"/>
  <c r="I128" i="79"/>
  <c r="F129" i="79"/>
  <c r="C98" i="85" l="1"/>
  <c r="G129" i="79"/>
  <c r="J129" i="79"/>
  <c r="H98" i="85" s="1"/>
  <c r="L128" i="79"/>
  <c r="J97" i="85" s="1"/>
  <c r="G97" i="85"/>
  <c r="H129" i="79" l="1"/>
  <c r="D98" i="85"/>
  <c r="E98" i="85" s="1"/>
  <c r="F98" i="85" l="1"/>
  <c r="I129" i="79"/>
  <c r="F130" i="79"/>
  <c r="C99" i="85" l="1"/>
  <c r="J130" i="79"/>
  <c r="H99" i="85" s="1"/>
  <c r="G130" i="79"/>
  <c r="L129" i="79"/>
  <c r="J98" i="85" s="1"/>
  <c r="G98" i="85"/>
  <c r="H130" i="79" l="1"/>
  <c r="D99" i="85"/>
  <c r="E99" i="85" s="1"/>
  <c r="I130" i="79" l="1"/>
  <c r="F99" i="85"/>
  <c r="F131" i="79"/>
  <c r="C100" i="85" l="1"/>
  <c r="J131" i="79"/>
  <c r="H100" i="85" s="1"/>
  <c r="G131" i="79"/>
  <c r="G99" i="85"/>
  <c r="L130" i="79"/>
  <c r="J99" i="85" s="1"/>
  <c r="H131" i="79" l="1"/>
  <c r="D100" i="85"/>
  <c r="E100" i="85" s="1"/>
  <c r="F100" i="85" l="1"/>
  <c r="I131" i="79"/>
  <c r="F132" i="79"/>
  <c r="C101" i="85" l="1"/>
  <c r="G132" i="79"/>
  <c r="J132" i="79"/>
  <c r="H101" i="85" s="1"/>
  <c r="L131" i="79"/>
  <c r="J100" i="85" s="1"/>
  <c r="G100" i="85"/>
  <c r="H132" i="79" l="1"/>
  <c r="D101" i="85"/>
  <c r="E101" i="85" s="1"/>
  <c r="I132" i="79" l="1"/>
  <c r="F101" i="85"/>
  <c r="F133" i="79"/>
  <c r="C102" i="85" l="1"/>
  <c r="J133" i="79"/>
  <c r="H102" i="85" s="1"/>
  <c r="G133" i="79"/>
  <c r="G101" i="85"/>
  <c r="L132" i="79"/>
  <c r="J101" i="85" s="1"/>
  <c r="H133" i="79" l="1"/>
  <c r="D102" i="85"/>
  <c r="E102" i="85" s="1"/>
  <c r="I133" i="79" l="1"/>
  <c r="F102" i="85"/>
  <c r="F134" i="79"/>
  <c r="G134" i="79" l="1"/>
  <c r="C103" i="85"/>
  <c r="J134" i="79"/>
  <c r="G102" i="85"/>
  <c r="L133" i="79"/>
  <c r="J102" i="85" s="1"/>
  <c r="H103" i="85" l="1"/>
  <c r="H134" i="79"/>
  <c r="D103" i="85"/>
  <c r="E103" i="85" s="1"/>
  <c r="I134" i="79" l="1"/>
  <c r="F103" i="85"/>
  <c r="F135" i="79"/>
  <c r="C104" i="85" l="1"/>
  <c r="G135" i="79"/>
  <c r="J135" i="79"/>
  <c r="H104" i="85" s="1"/>
  <c r="G103" i="85"/>
  <c r="L134" i="79"/>
  <c r="J103" i="85" s="1"/>
  <c r="H135" i="79" l="1"/>
  <c r="D104" i="85"/>
  <c r="E104" i="85" s="1"/>
  <c r="F104" i="85" l="1"/>
  <c r="I135" i="79"/>
  <c r="F136" i="79"/>
  <c r="C105" i="85" l="1"/>
  <c r="J136" i="79"/>
  <c r="H105" i="85" s="1"/>
  <c r="G136" i="79"/>
  <c r="L135" i="79"/>
  <c r="J104" i="85" s="1"/>
  <c r="G104" i="85"/>
  <c r="H136" i="79" l="1"/>
  <c r="D105" i="85"/>
  <c r="E105" i="85" s="1"/>
  <c r="F105" i="85" l="1"/>
  <c r="I136" i="79"/>
  <c r="F137" i="79"/>
  <c r="C106" i="85" l="1"/>
  <c r="G137" i="79"/>
  <c r="J137" i="79"/>
  <c r="H106" i="85" s="1"/>
  <c r="L136" i="79"/>
  <c r="J105" i="85" s="1"/>
  <c r="G105" i="85"/>
  <c r="H137" i="79" l="1"/>
  <c r="D106" i="85"/>
  <c r="E106" i="85" s="1"/>
  <c r="F106" i="85" l="1"/>
  <c r="I137" i="79"/>
  <c r="F138" i="79"/>
  <c r="C107" i="85" l="1"/>
  <c r="J138" i="79"/>
  <c r="H107" i="85" s="1"/>
  <c r="G138" i="79"/>
  <c r="L137" i="79"/>
  <c r="J106" i="85" s="1"/>
  <c r="G106" i="85"/>
  <c r="H138" i="79" l="1"/>
  <c r="D107" i="85"/>
  <c r="E107" i="85" s="1"/>
  <c r="F107" i="85" l="1"/>
  <c r="I138" i="79"/>
  <c r="F139" i="79"/>
  <c r="C108" i="85" l="1"/>
  <c r="J139" i="79"/>
  <c r="H108" i="85" s="1"/>
  <c r="G139" i="79"/>
  <c r="L138" i="79"/>
  <c r="J107" i="85" s="1"/>
  <c r="G107" i="85"/>
  <c r="H139" i="79" l="1"/>
  <c r="D108" i="85"/>
  <c r="E108" i="85" s="1"/>
  <c r="F108" i="85" l="1"/>
  <c r="I139" i="79"/>
  <c r="F140" i="79"/>
  <c r="C109" i="85" l="1"/>
  <c r="G140" i="79"/>
  <c r="J140" i="79"/>
  <c r="H109" i="85" s="1"/>
  <c r="L139" i="79"/>
  <c r="J108" i="85" s="1"/>
  <c r="G108" i="85"/>
  <c r="H140" i="79" l="1"/>
  <c r="D109" i="85"/>
  <c r="E109" i="85" s="1"/>
  <c r="F109" i="85" l="1"/>
  <c r="I140" i="79"/>
  <c r="F141" i="79"/>
  <c r="C110" i="85" l="1"/>
  <c r="G141" i="79"/>
  <c r="J141" i="79"/>
  <c r="H110" i="85" s="1"/>
  <c r="L140" i="79"/>
  <c r="J109" i="85" s="1"/>
  <c r="G109" i="85"/>
  <c r="H141" i="79" l="1"/>
  <c r="D110" i="85"/>
  <c r="E110" i="85" s="1"/>
  <c r="F110" i="85" l="1"/>
  <c r="I141" i="79"/>
  <c r="F142" i="79"/>
  <c r="C111" i="85" l="1"/>
  <c r="G142" i="79"/>
  <c r="J142" i="79"/>
  <c r="H111" i="85" s="1"/>
  <c r="L141" i="79"/>
  <c r="J110" i="85" s="1"/>
  <c r="G110" i="85"/>
  <c r="H142" i="79" l="1"/>
  <c r="D111" i="85"/>
  <c r="E111" i="85" s="1"/>
  <c r="F111" i="85" l="1"/>
  <c r="I142" i="79"/>
  <c r="F143" i="79"/>
  <c r="C112" i="85" l="1"/>
  <c r="G143" i="79"/>
  <c r="J143" i="79"/>
  <c r="H112" i="85" s="1"/>
  <c r="L142" i="79"/>
  <c r="J111" i="85" s="1"/>
  <c r="G111" i="85"/>
  <c r="H143" i="79" l="1"/>
  <c r="D112" i="85"/>
  <c r="E112" i="85" s="1"/>
  <c r="F112" i="85" l="1"/>
  <c r="I143" i="79"/>
  <c r="F144" i="79"/>
  <c r="C113" i="85" l="1"/>
  <c r="J144" i="79"/>
  <c r="H113" i="85" s="1"/>
  <c r="G144" i="79"/>
  <c r="L143" i="79"/>
  <c r="J112" i="85" s="1"/>
  <c r="G112" i="85"/>
  <c r="H144" i="79" l="1"/>
  <c r="D113" i="85"/>
  <c r="E113" i="85" s="1"/>
  <c r="F113" i="85" l="1"/>
  <c r="I144" i="79"/>
  <c r="F145" i="79"/>
  <c r="C114" i="85" l="1"/>
  <c r="G145" i="79"/>
  <c r="J145" i="79"/>
  <c r="H114" i="85" s="1"/>
  <c r="L144" i="79"/>
  <c r="J113" i="85" s="1"/>
  <c r="G113" i="85"/>
  <c r="H145" i="79" l="1"/>
  <c r="D114" i="85"/>
  <c r="E114" i="85" s="1"/>
  <c r="F114" i="85" l="1"/>
  <c r="I145" i="79"/>
  <c r="F146" i="79"/>
  <c r="C115" i="85" l="1"/>
  <c r="J146" i="79"/>
  <c r="H115" i="85" s="1"/>
  <c r="G146" i="79"/>
  <c r="L145" i="79"/>
  <c r="J114" i="85" s="1"/>
  <c r="G114" i="85"/>
  <c r="H146" i="79" l="1"/>
  <c r="D115" i="85"/>
  <c r="E115" i="85" s="1"/>
  <c r="F115" i="85" l="1"/>
  <c r="I146" i="79"/>
  <c r="F147" i="79"/>
  <c r="C116" i="85" l="1"/>
  <c r="J147" i="79"/>
  <c r="H116" i="85" s="1"/>
  <c r="G147" i="79"/>
  <c r="L146" i="79"/>
  <c r="J115" i="85" s="1"/>
  <c r="G115" i="85"/>
  <c r="H147" i="79" l="1"/>
  <c r="D116" i="85"/>
  <c r="E116" i="85" s="1"/>
  <c r="F116" i="85" l="1"/>
  <c r="I147" i="79"/>
  <c r="F148" i="79"/>
  <c r="C117" i="85" l="1"/>
  <c r="J148" i="79"/>
  <c r="H117" i="85" s="1"/>
  <c r="G148" i="79"/>
  <c r="L147" i="79"/>
  <c r="J116" i="85" s="1"/>
  <c r="G116" i="85"/>
  <c r="H148" i="79" l="1"/>
  <c r="D117" i="85"/>
  <c r="E117" i="85" s="1"/>
  <c r="I148" i="79" l="1"/>
  <c r="F117" i="85"/>
  <c r="F149" i="79"/>
  <c r="C118" i="85" l="1"/>
  <c r="J149" i="79"/>
  <c r="H118" i="85" s="1"/>
  <c r="G149" i="79"/>
  <c r="G117" i="85"/>
  <c r="L148" i="79"/>
  <c r="J117" i="85" s="1"/>
  <c r="H149" i="79" l="1"/>
  <c r="D118" i="85"/>
  <c r="E118" i="85" s="1"/>
  <c r="F118" i="85" l="1"/>
  <c r="I149" i="79"/>
  <c r="F150" i="79"/>
  <c r="C119" i="85" l="1"/>
  <c r="G150" i="79"/>
  <c r="J150" i="79"/>
  <c r="H119" i="85" s="1"/>
  <c r="L149" i="79"/>
  <c r="J118" i="85" s="1"/>
  <c r="G118" i="85"/>
  <c r="H150" i="79" l="1"/>
  <c r="D119" i="85"/>
  <c r="E119" i="85" s="1"/>
  <c r="F119" i="85" l="1"/>
  <c r="I150" i="79"/>
  <c r="F151" i="79"/>
  <c r="C120" i="85" l="1"/>
  <c r="G151" i="79"/>
  <c r="J151" i="79"/>
  <c r="H120" i="85" s="1"/>
  <c r="L150" i="79"/>
  <c r="J119" i="85" s="1"/>
  <c r="G119" i="85"/>
  <c r="H151" i="79" l="1"/>
  <c r="D120" i="85"/>
  <c r="E120" i="85" s="1"/>
  <c r="I151" i="79" l="1"/>
  <c r="F120" i="85"/>
  <c r="F152" i="79"/>
  <c r="J152" i="79" l="1"/>
  <c r="H121" i="85" s="1"/>
  <c r="C121" i="85"/>
  <c r="G152" i="79"/>
  <c r="G120" i="85"/>
  <c r="L151" i="79"/>
  <c r="J120" i="85" s="1"/>
  <c r="H152" i="79" l="1"/>
  <c r="D121" i="85"/>
  <c r="E121" i="85" s="1"/>
  <c r="I152" i="79" l="1"/>
  <c r="F121" i="85"/>
  <c r="F153" i="79"/>
  <c r="G153" i="79" l="1"/>
  <c r="C122" i="85"/>
  <c r="J153" i="79"/>
  <c r="H122" i="85" s="1"/>
  <c r="L152" i="79"/>
  <c r="J121" i="85" s="1"/>
  <c r="G121" i="85"/>
  <c r="H153" i="79" l="1"/>
  <c r="D122" i="85"/>
  <c r="E122" i="85" s="1"/>
  <c r="F122" i="85" l="1"/>
  <c r="I153" i="79"/>
  <c r="F154" i="79"/>
  <c r="C123" i="85" l="1"/>
  <c r="J154" i="79"/>
  <c r="H123" i="85" s="1"/>
  <c r="G154" i="79"/>
  <c r="G122" i="85"/>
  <c r="L153" i="79"/>
  <c r="J122" i="85" s="1"/>
  <c r="H154" i="79" l="1"/>
  <c r="D123" i="85"/>
  <c r="E123" i="85" s="1"/>
  <c r="I154" i="79" l="1"/>
  <c r="F123" i="85"/>
  <c r="F155" i="79"/>
  <c r="C124" i="85" l="1"/>
  <c r="G155" i="79"/>
  <c r="J155" i="79"/>
  <c r="H124" i="85" s="1"/>
  <c r="G123" i="85"/>
  <c r="L154" i="79"/>
  <c r="J123" i="85" s="1"/>
  <c r="H155" i="79" l="1"/>
  <c r="D124" i="85"/>
  <c r="E124" i="85" s="1"/>
  <c r="I155" i="79" l="1"/>
  <c r="F124" i="85"/>
  <c r="F156" i="79"/>
  <c r="G156" i="79" l="1"/>
  <c r="C125" i="85"/>
  <c r="J156" i="79"/>
  <c r="G124" i="85"/>
  <c r="L155" i="79"/>
  <c r="J124" i="85" s="1"/>
  <c r="H125" i="85" l="1"/>
  <c r="H156" i="79"/>
  <c r="D125" i="85"/>
  <c r="E125" i="85" s="1"/>
  <c r="I156" i="79" l="1"/>
  <c r="F125" i="85"/>
  <c r="F157" i="79"/>
  <c r="C126" i="85" l="1"/>
  <c r="J157" i="79"/>
  <c r="H126" i="85" s="1"/>
  <c r="G157" i="79"/>
  <c r="G125" i="85"/>
  <c r="L156" i="79"/>
  <c r="J125" i="85" s="1"/>
  <c r="H157" i="79" l="1"/>
  <c r="D126" i="85"/>
  <c r="E126" i="85" s="1"/>
  <c r="F126" i="85" l="1"/>
  <c r="I157" i="79"/>
  <c r="F158" i="79"/>
  <c r="C127" i="85" l="1"/>
  <c r="G158" i="79"/>
  <c r="J158" i="79"/>
  <c r="H127" i="85" s="1"/>
  <c r="L157" i="79"/>
  <c r="J126" i="85" s="1"/>
  <c r="G126" i="85"/>
  <c r="H158" i="79" l="1"/>
  <c r="D127" i="85"/>
  <c r="E127" i="85" s="1"/>
  <c r="F127" i="85" l="1"/>
  <c r="I158" i="79"/>
  <c r="F159" i="79"/>
  <c r="C128" i="85" l="1"/>
  <c r="G159" i="79"/>
  <c r="J159" i="79"/>
  <c r="H128" i="85" s="1"/>
  <c r="L158" i="79"/>
  <c r="J127" i="85" s="1"/>
  <c r="G127" i="85"/>
  <c r="H159" i="79" l="1"/>
  <c r="D128" i="85"/>
  <c r="E128" i="85" s="1"/>
  <c r="F128" i="85" l="1"/>
  <c r="I159" i="79"/>
  <c r="F160" i="79"/>
  <c r="C129" i="85" l="1"/>
  <c r="J160" i="79"/>
  <c r="H129" i="85" s="1"/>
  <c r="G160" i="79"/>
  <c r="L159" i="79"/>
  <c r="J128" i="85" s="1"/>
  <c r="G128" i="85"/>
  <c r="H160" i="79" l="1"/>
  <c r="D129" i="85"/>
  <c r="E129" i="85" s="1"/>
  <c r="F129" i="85" l="1"/>
  <c r="I160" i="79"/>
  <c r="F161" i="79"/>
  <c r="C130" i="85" l="1"/>
  <c r="J161" i="79"/>
  <c r="H130" i="85" s="1"/>
  <c r="G161" i="79"/>
  <c r="L160" i="79"/>
  <c r="J129" i="85" s="1"/>
  <c r="G129" i="85"/>
  <c r="H161" i="79" l="1"/>
  <c r="D130" i="85"/>
  <c r="E130" i="85" s="1"/>
  <c r="F130" i="85" l="1"/>
  <c r="I161" i="79"/>
  <c r="F162" i="79"/>
  <c r="C131" i="85" l="1"/>
  <c r="G162" i="79"/>
  <c r="J162" i="79"/>
  <c r="H131" i="85" s="1"/>
  <c r="L161" i="79"/>
  <c r="J130" i="85" s="1"/>
  <c r="G130" i="85"/>
  <c r="H162" i="79" l="1"/>
  <c r="D131" i="85"/>
  <c r="E131" i="85" s="1"/>
  <c r="F131" i="85" l="1"/>
  <c r="I162" i="79"/>
  <c r="F163" i="79"/>
  <c r="C132" i="85" l="1"/>
  <c r="G163" i="79"/>
  <c r="J163" i="79"/>
  <c r="H132" i="85" s="1"/>
  <c r="L162" i="79"/>
  <c r="J131" i="85" s="1"/>
  <c r="G131" i="85"/>
  <c r="H163" i="79" l="1"/>
  <c r="D132" i="85"/>
  <c r="E132" i="85" s="1"/>
  <c r="F132" i="85" l="1"/>
  <c r="I163" i="79"/>
  <c r="F164" i="79"/>
  <c r="C133" i="85" l="1"/>
  <c r="G164" i="79"/>
  <c r="J164" i="79"/>
  <c r="H133" i="85" s="1"/>
  <c r="L163" i="79"/>
  <c r="J132" i="85" s="1"/>
  <c r="G132" i="85"/>
  <c r="H164" i="79" l="1"/>
  <c r="D133" i="85"/>
  <c r="E133" i="85" s="1"/>
  <c r="F133" i="85" l="1"/>
  <c r="I164" i="79"/>
  <c r="F165" i="79"/>
  <c r="C134" i="85" l="1"/>
  <c r="G165" i="79"/>
  <c r="J165" i="79"/>
  <c r="H134" i="85" s="1"/>
  <c r="L164" i="79"/>
  <c r="J133" i="85" s="1"/>
  <c r="G133" i="85"/>
  <c r="H165" i="79" l="1"/>
  <c r="D134" i="85"/>
  <c r="E134" i="85" s="1"/>
  <c r="F134" i="85" l="1"/>
  <c r="I165" i="79"/>
  <c r="F166" i="79"/>
  <c r="C135" i="85" l="1"/>
  <c r="G166" i="79"/>
  <c r="J166" i="79"/>
  <c r="H135" i="85" s="1"/>
  <c r="L165" i="79"/>
  <c r="J134" i="85" s="1"/>
  <c r="G134" i="85"/>
  <c r="H166" i="79" l="1"/>
  <c r="D135" i="85"/>
  <c r="E135" i="85" s="1"/>
  <c r="F135" i="85" l="1"/>
  <c r="I166" i="79"/>
  <c r="F167" i="79"/>
  <c r="C136" i="85" l="1"/>
  <c r="J167" i="79"/>
  <c r="H136" i="85" s="1"/>
  <c r="G167" i="79"/>
  <c r="L166" i="79"/>
  <c r="J135" i="85" s="1"/>
  <c r="G135" i="85"/>
  <c r="H167" i="79" l="1"/>
  <c r="D136" i="85"/>
  <c r="E136" i="85" s="1"/>
  <c r="I167" i="79" l="1"/>
  <c r="F136" i="85"/>
  <c r="F168" i="79"/>
  <c r="G168" i="79" l="1"/>
  <c r="C137" i="85"/>
  <c r="J168" i="79"/>
  <c r="G136" i="85"/>
  <c r="L167" i="79"/>
  <c r="J136" i="85" s="1"/>
  <c r="H137" i="85" l="1"/>
  <c r="H168" i="79"/>
  <c r="D137" i="85"/>
  <c r="E137" i="85" s="1"/>
  <c r="I168" i="79" l="1"/>
  <c r="F137" i="85"/>
  <c r="F169" i="79"/>
  <c r="G169" i="79" l="1"/>
  <c r="C138" i="85"/>
  <c r="J169" i="79"/>
  <c r="G137" i="85"/>
  <c r="L168" i="79"/>
  <c r="J137" i="85" s="1"/>
  <c r="H138" i="85" l="1"/>
  <c r="H169" i="79"/>
  <c r="D138" i="85"/>
  <c r="E138" i="85" s="1"/>
  <c r="I169" i="79" l="1"/>
  <c r="F138" i="85"/>
  <c r="F170" i="79"/>
  <c r="J170" i="79" l="1"/>
  <c r="H139" i="85" s="1"/>
  <c r="C139" i="85"/>
  <c r="G170" i="79"/>
  <c r="G138" i="85"/>
  <c r="L169" i="79"/>
  <c r="J138" i="85" s="1"/>
  <c r="H170" i="79" l="1"/>
  <c r="D139" i="85"/>
  <c r="E139" i="85" s="1"/>
  <c r="I170" i="79" l="1"/>
  <c r="F139" i="85"/>
  <c r="F171" i="79"/>
  <c r="G171" i="79" l="1"/>
  <c r="C140" i="85"/>
  <c r="J171" i="79"/>
  <c r="L170" i="79"/>
  <c r="J139" i="85" s="1"/>
  <c r="G139" i="85"/>
  <c r="H140" i="85" l="1"/>
  <c r="H171" i="79"/>
  <c r="D140" i="85"/>
  <c r="E140" i="85" s="1"/>
  <c r="I171" i="79" l="1"/>
  <c r="F140" i="85"/>
  <c r="F172" i="79"/>
  <c r="C141" i="85" l="1"/>
  <c r="J172" i="79"/>
  <c r="H141" i="85" s="1"/>
  <c r="G172" i="79"/>
  <c r="G140" i="85"/>
  <c r="L171" i="79"/>
  <c r="J140" i="85" s="1"/>
  <c r="H172" i="79" l="1"/>
  <c r="D141" i="85"/>
  <c r="E141" i="85" s="1"/>
  <c r="F141" i="85" l="1"/>
  <c r="I172" i="79"/>
  <c r="F173" i="79"/>
  <c r="C142" i="85" l="1"/>
  <c r="G173" i="79"/>
  <c r="J173" i="79"/>
  <c r="H142" i="85" s="1"/>
  <c r="L172" i="79"/>
  <c r="J141" i="85" s="1"/>
  <c r="G141" i="85"/>
  <c r="H173" i="79" l="1"/>
  <c r="D142" i="85"/>
  <c r="E142" i="85" s="1"/>
  <c r="F142" i="85" l="1"/>
  <c r="I173" i="79"/>
  <c r="F174" i="79"/>
  <c r="C143" i="85" l="1"/>
  <c r="G174" i="79"/>
  <c r="J174" i="79"/>
  <c r="H143" i="85" s="1"/>
  <c r="L173" i="79"/>
  <c r="J142" i="85" s="1"/>
  <c r="G142" i="85"/>
  <c r="H174" i="79" l="1"/>
  <c r="D143" i="85"/>
  <c r="E143" i="85" s="1"/>
  <c r="F143" i="85" l="1"/>
  <c r="I174" i="79"/>
  <c r="F175" i="79"/>
  <c r="C144" i="85" l="1"/>
  <c r="J175" i="79"/>
  <c r="H144" i="85" s="1"/>
  <c r="G175" i="79"/>
  <c r="L174" i="79"/>
  <c r="J143" i="85" s="1"/>
  <c r="G143" i="85"/>
  <c r="H175" i="79" l="1"/>
  <c r="D144" i="85"/>
  <c r="E144" i="85" s="1"/>
  <c r="F144" i="85" l="1"/>
  <c r="I175" i="79"/>
  <c r="F176" i="79"/>
  <c r="C145" i="85" l="1"/>
  <c r="J176" i="79"/>
  <c r="H145" i="85" s="1"/>
  <c r="G176" i="79"/>
  <c r="L175" i="79"/>
  <c r="J144" i="85" s="1"/>
  <c r="G144" i="85"/>
  <c r="H176" i="79" l="1"/>
  <c r="D145" i="85"/>
  <c r="E145" i="85" s="1"/>
  <c r="I176" i="79" l="1"/>
  <c r="F145" i="85"/>
  <c r="F177" i="79"/>
  <c r="C146" i="85" l="1"/>
  <c r="G177" i="79"/>
  <c r="J177" i="79"/>
  <c r="H146" i="85" s="1"/>
  <c r="G145" i="85"/>
  <c r="L176" i="79"/>
  <c r="J145" i="85" s="1"/>
  <c r="H177" i="79" l="1"/>
  <c r="D146" i="85"/>
  <c r="E146" i="85" s="1"/>
  <c r="F146" i="85" l="1"/>
  <c r="I177" i="79"/>
  <c r="F178" i="79"/>
  <c r="C147" i="85" l="1"/>
  <c r="J178" i="79"/>
  <c r="H147" i="85" s="1"/>
  <c r="G178" i="79"/>
  <c r="L177" i="79"/>
  <c r="J146" i="85" s="1"/>
  <c r="G146" i="85"/>
  <c r="H178" i="79" l="1"/>
  <c r="D147" i="85"/>
  <c r="E147" i="85" s="1"/>
  <c r="F147" i="85" l="1"/>
  <c r="I178" i="79"/>
  <c r="F179" i="79"/>
  <c r="C148" i="85" l="1"/>
  <c r="G179" i="79"/>
  <c r="J179" i="79"/>
  <c r="H148" i="85" s="1"/>
  <c r="L178" i="79"/>
  <c r="J147" i="85" s="1"/>
  <c r="G147" i="85"/>
  <c r="H179" i="79" l="1"/>
  <c r="D148" i="85"/>
  <c r="E148" i="85" s="1"/>
  <c r="I179" i="79" l="1"/>
  <c r="F148" i="85"/>
  <c r="F180" i="79"/>
  <c r="C149" i="85" l="1"/>
  <c r="G180" i="79"/>
  <c r="J180" i="79"/>
  <c r="H149" i="85" s="1"/>
  <c r="G148" i="85"/>
  <c r="L179" i="79"/>
  <c r="J148" i="85" s="1"/>
  <c r="H180" i="79" l="1"/>
  <c r="D149" i="85"/>
  <c r="E149" i="85" s="1"/>
  <c r="I180" i="79" l="1"/>
  <c r="F149" i="85"/>
  <c r="F181" i="79"/>
  <c r="C150" i="85" l="1"/>
  <c r="J181" i="79"/>
  <c r="H150" i="85" s="1"/>
  <c r="G181" i="79"/>
  <c r="G149" i="85"/>
  <c r="L180" i="79"/>
  <c r="J149" i="85" s="1"/>
  <c r="H181" i="79" l="1"/>
  <c r="D150" i="85"/>
  <c r="E150" i="85" s="1"/>
  <c r="I181" i="79" l="1"/>
  <c r="F150" i="85"/>
  <c r="F182" i="79"/>
  <c r="J182" i="79" l="1"/>
  <c r="H151" i="85" s="1"/>
  <c r="C151" i="85"/>
  <c r="G182" i="79"/>
  <c r="G150" i="85"/>
  <c r="L181" i="79"/>
  <c r="J150" i="85" s="1"/>
  <c r="H182" i="79" l="1"/>
  <c r="D151" i="85"/>
  <c r="E151" i="85" s="1"/>
  <c r="I182" i="79" l="1"/>
  <c r="F151" i="85"/>
  <c r="F183" i="79"/>
  <c r="G183" i="79" l="1"/>
  <c r="C152" i="85"/>
  <c r="J183" i="79"/>
  <c r="L182" i="79"/>
  <c r="J151" i="85" s="1"/>
  <c r="G151" i="85"/>
  <c r="H152" i="85" l="1"/>
  <c r="H183" i="79"/>
  <c r="D152" i="85"/>
  <c r="E152" i="85" s="1"/>
  <c r="I183" i="79" l="1"/>
  <c r="F152" i="85"/>
  <c r="F184" i="79"/>
  <c r="C153" i="85" l="1"/>
  <c r="G184" i="79"/>
  <c r="J184" i="79"/>
  <c r="H153" i="85" s="1"/>
  <c r="G152" i="85"/>
  <c r="L183" i="79"/>
  <c r="J152" i="85" s="1"/>
  <c r="H184" i="79" l="1"/>
  <c r="D153" i="85"/>
  <c r="E153" i="85" s="1"/>
  <c r="F153" i="85" l="1"/>
  <c r="I184" i="79"/>
  <c r="F185" i="79"/>
  <c r="C154" i="85" l="1"/>
  <c r="G185" i="79"/>
  <c r="J185" i="79"/>
  <c r="H154" i="85" s="1"/>
  <c r="L184" i="79"/>
  <c r="J153" i="85" s="1"/>
  <c r="G153" i="85"/>
  <c r="H185" i="79" l="1"/>
  <c r="D154" i="85"/>
  <c r="E154" i="85" s="1"/>
  <c r="F154" i="85" l="1"/>
  <c r="I185" i="79"/>
  <c r="F186" i="79"/>
  <c r="C155" i="85" l="1"/>
  <c r="G186" i="79"/>
  <c r="J186" i="79"/>
  <c r="H155" i="85" s="1"/>
  <c r="L185" i="79"/>
  <c r="J154" i="85" s="1"/>
  <c r="G154" i="85"/>
  <c r="H186" i="79" l="1"/>
  <c r="D155" i="85"/>
  <c r="E155" i="85" s="1"/>
  <c r="F155" i="85" l="1"/>
  <c r="I186" i="79"/>
  <c r="F187" i="79"/>
  <c r="C156" i="85" l="1"/>
  <c r="G187" i="79"/>
  <c r="J187" i="79"/>
  <c r="H156" i="85" s="1"/>
  <c r="L186" i="79"/>
  <c r="J155" i="85" s="1"/>
  <c r="G155" i="85"/>
  <c r="H187" i="79" l="1"/>
  <c r="D156" i="85"/>
  <c r="E156" i="85" s="1"/>
  <c r="F156" i="85" l="1"/>
  <c r="I187" i="79"/>
  <c r="F188" i="79"/>
  <c r="C157" i="85" l="1"/>
  <c r="G188" i="79"/>
  <c r="J188" i="79"/>
  <c r="H157" i="85" s="1"/>
  <c r="L187" i="79"/>
  <c r="J156" i="85" s="1"/>
  <c r="G156" i="85"/>
  <c r="H188" i="79" l="1"/>
  <c r="D157" i="85"/>
  <c r="E157" i="85" s="1"/>
  <c r="F157" i="85" l="1"/>
  <c r="I188" i="79"/>
  <c r="F189" i="79"/>
  <c r="C158" i="85" l="1"/>
  <c r="G189" i="79"/>
  <c r="J189" i="79"/>
  <c r="H158" i="85" s="1"/>
  <c r="L188" i="79"/>
  <c r="J157" i="85" s="1"/>
  <c r="G157" i="85"/>
  <c r="H189" i="79" l="1"/>
  <c r="D158" i="85"/>
  <c r="E158" i="85" s="1"/>
  <c r="I189" i="79" l="1"/>
  <c r="F158" i="85"/>
  <c r="F190" i="79"/>
  <c r="C159" i="85" l="1"/>
  <c r="G190" i="79"/>
  <c r="J190" i="79"/>
  <c r="H159" i="85" s="1"/>
  <c r="G158" i="85"/>
  <c r="L189" i="79"/>
  <c r="J158" i="85" s="1"/>
  <c r="H190" i="79" l="1"/>
  <c r="D159" i="85"/>
  <c r="E159" i="85" s="1"/>
  <c r="F159" i="85" l="1"/>
  <c r="I190" i="79"/>
  <c r="F191" i="79"/>
  <c r="C160" i="85" l="1"/>
  <c r="J191" i="79"/>
  <c r="H160" i="85" s="1"/>
  <c r="G191" i="79"/>
  <c r="L190" i="79"/>
  <c r="J159" i="85" s="1"/>
  <c r="G159" i="85"/>
  <c r="H191" i="79" l="1"/>
  <c r="D160" i="85"/>
  <c r="E160" i="85" s="1"/>
  <c r="F160" i="85" l="1"/>
  <c r="I191" i="79"/>
  <c r="F192" i="79"/>
  <c r="C161" i="85" l="1"/>
  <c r="G192" i="79"/>
  <c r="J192" i="79"/>
  <c r="H161" i="85" s="1"/>
  <c r="L191" i="79"/>
  <c r="J160" i="85" s="1"/>
  <c r="G160" i="85"/>
  <c r="H192" i="79" l="1"/>
  <c r="D161" i="85"/>
  <c r="E161" i="85" s="1"/>
  <c r="I192" i="79" l="1"/>
  <c r="F161" i="85"/>
  <c r="F193" i="79"/>
  <c r="C162" i="85" l="1"/>
  <c r="G193" i="79"/>
  <c r="J193" i="79"/>
  <c r="H162" i="85" s="1"/>
  <c r="G161" i="85"/>
  <c r="L192" i="79"/>
  <c r="J161" i="85" s="1"/>
  <c r="H193" i="79" l="1"/>
  <c r="D162" i="85"/>
  <c r="E162" i="85" s="1"/>
  <c r="I193" i="79" l="1"/>
  <c r="F162" i="85"/>
  <c r="F194" i="79"/>
  <c r="G194" i="79" l="1"/>
  <c r="C163" i="85"/>
  <c r="J194" i="79"/>
  <c r="G162" i="85"/>
  <c r="L193" i="79"/>
  <c r="J162" i="85" s="1"/>
  <c r="H163" i="85" l="1"/>
  <c r="H194" i="79"/>
  <c r="D163" i="85"/>
  <c r="E163" i="85" s="1"/>
  <c r="I194" i="79" l="1"/>
  <c r="F163" i="85"/>
  <c r="F195" i="79"/>
  <c r="G195" i="79" l="1"/>
  <c r="C164" i="85"/>
  <c r="J195" i="79"/>
  <c r="G163" i="85"/>
  <c r="L194" i="79"/>
  <c r="J163" i="85" s="1"/>
  <c r="H164" i="85" l="1"/>
  <c r="H195" i="79"/>
  <c r="D164" i="85"/>
  <c r="E164" i="85" s="1"/>
  <c r="I195" i="79" l="1"/>
  <c r="F164" i="85"/>
  <c r="F196" i="79"/>
  <c r="J196" i="79" l="1"/>
  <c r="H165" i="85" s="1"/>
  <c r="C165" i="85"/>
  <c r="G196" i="79"/>
  <c r="G164" i="85"/>
  <c r="L195" i="79"/>
  <c r="J164" i="85" s="1"/>
  <c r="H196" i="79" l="1"/>
  <c r="D165" i="85"/>
  <c r="E165" i="85" s="1"/>
  <c r="I196" i="79" l="1"/>
  <c r="F165" i="85"/>
  <c r="F197" i="79"/>
  <c r="G197" i="79" l="1"/>
  <c r="C166" i="85"/>
  <c r="J197" i="79"/>
  <c r="L196" i="79"/>
  <c r="J165" i="85" s="1"/>
  <c r="G165" i="85"/>
  <c r="H166" i="85" l="1"/>
  <c r="H197" i="79"/>
  <c r="D166" i="85"/>
  <c r="E166" i="85" s="1"/>
  <c r="I197" i="79" l="1"/>
  <c r="F166" i="85"/>
  <c r="F198" i="79"/>
  <c r="C167" i="85" l="1"/>
  <c r="G198" i="79"/>
  <c r="J198" i="79"/>
  <c r="H167" i="85" s="1"/>
  <c r="G166" i="85"/>
  <c r="L197" i="79"/>
  <c r="J166" i="85" s="1"/>
  <c r="H198" i="79" l="1"/>
  <c r="D167" i="85"/>
  <c r="E167" i="85" s="1"/>
  <c r="I198" i="79" l="1"/>
  <c r="F167" i="85"/>
  <c r="F199" i="79"/>
  <c r="C168" i="85" l="1"/>
  <c r="G199" i="79"/>
  <c r="J199" i="79"/>
  <c r="H168" i="85" s="1"/>
  <c r="G167" i="85"/>
  <c r="L198" i="79"/>
  <c r="J167" i="85" s="1"/>
  <c r="H199" i="79" l="1"/>
  <c r="D168" i="85"/>
  <c r="E168" i="85" s="1"/>
  <c r="I199" i="79" l="1"/>
  <c r="F168" i="85"/>
  <c r="F200" i="79"/>
  <c r="C169" i="85" l="1"/>
  <c r="J200" i="79"/>
  <c r="H169" i="85" s="1"/>
  <c r="G200" i="79"/>
  <c r="G168" i="85"/>
  <c r="L199" i="79"/>
  <c r="J168" i="85" s="1"/>
  <c r="H200" i="79" l="1"/>
  <c r="D169" i="85"/>
  <c r="E169" i="85" s="1"/>
  <c r="I200" i="79" l="1"/>
  <c r="F169" i="85"/>
  <c r="F201" i="79"/>
  <c r="C170" i="85" l="1"/>
  <c r="J201" i="79"/>
  <c r="H170" i="85" s="1"/>
  <c r="G201" i="79"/>
  <c r="G169" i="85"/>
  <c r="L200" i="79"/>
  <c r="J169" i="85" s="1"/>
  <c r="H201" i="79" l="1"/>
  <c r="D170" i="85"/>
  <c r="E170" i="85" s="1"/>
  <c r="I201" i="79" l="1"/>
  <c r="F170" i="85"/>
  <c r="F202" i="79"/>
  <c r="C171" i="85" l="1"/>
  <c r="G202" i="79"/>
  <c r="J202" i="79"/>
  <c r="H171" i="85" s="1"/>
  <c r="G170" i="85"/>
  <c r="L201" i="79"/>
  <c r="J170" i="85" s="1"/>
  <c r="H202" i="79" l="1"/>
  <c r="D171" i="85"/>
  <c r="E171" i="85" s="1"/>
  <c r="I202" i="79" l="1"/>
  <c r="F171" i="85"/>
  <c r="F203" i="79"/>
  <c r="C172" i="85" l="1"/>
  <c r="G203" i="79"/>
  <c r="J203" i="79"/>
  <c r="H172" i="85" s="1"/>
  <c r="G171" i="85"/>
  <c r="L202" i="79"/>
  <c r="J171" i="85" s="1"/>
  <c r="H203" i="79" l="1"/>
  <c r="D172" i="85"/>
  <c r="E172" i="85" s="1"/>
  <c r="I203" i="79" l="1"/>
  <c r="F172" i="85"/>
  <c r="F204" i="79"/>
  <c r="C173" i="85" l="1"/>
  <c r="G204" i="79"/>
  <c r="J204" i="79"/>
  <c r="H173" i="85" s="1"/>
  <c r="G172" i="85"/>
  <c r="L203" i="79"/>
  <c r="J172" i="85" s="1"/>
  <c r="H204" i="79" l="1"/>
  <c r="D173" i="85"/>
  <c r="E173" i="85" s="1"/>
  <c r="I204" i="79" l="1"/>
  <c r="F173" i="85"/>
  <c r="F205" i="79"/>
  <c r="C174" i="85" l="1"/>
  <c r="J205" i="79"/>
  <c r="H174" i="85" s="1"/>
  <c r="G205" i="79"/>
  <c r="G173" i="85"/>
  <c r="L204" i="79"/>
  <c r="J173" i="85" s="1"/>
  <c r="H205" i="79" l="1"/>
  <c r="D174" i="85"/>
  <c r="E174" i="85" s="1"/>
  <c r="I205" i="79" l="1"/>
  <c r="F174" i="85"/>
  <c r="F206" i="79"/>
  <c r="C175" i="85" l="1"/>
  <c r="G206" i="79"/>
  <c r="J206" i="79"/>
  <c r="H175" i="85" s="1"/>
  <c r="G174" i="85"/>
  <c r="L205" i="79"/>
  <c r="J174" i="85" s="1"/>
  <c r="H206" i="79" l="1"/>
  <c r="D175" i="85"/>
  <c r="E175" i="85" s="1"/>
  <c r="I206" i="79" l="1"/>
  <c r="F175" i="85"/>
  <c r="F207" i="79"/>
  <c r="C176" i="85" l="1"/>
  <c r="G207" i="79"/>
  <c r="J207" i="79"/>
  <c r="H176" i="85" s="1"/>
  <c r="G175" i="85"/>
  <c r="L206" i="79"/>
  <c r="J175" i="85" s="1"/>
  <c r="H207" i="79" l="1"/>
  <c r="D176" i="85"/>
  <c r="E176" i="85" s="1"/>
  <c r="I207" i="79" l="1"/>
  <c r="F176" i="85"/>
  <c r="F208" i="79"/>
  <c r="C177" i="85" l="1"/>
  <c r="J208" i="79"/>
  <c r="H177" i="85" s="1"/>
  <c r="G208" i="79"/>
  <c r="G176" i="85"/>
  <c r="L207" i="79"/>
  <c r="J176" i="85" s="1"/>
  <c r="H208" i="79" l="1"/>
  <c r="D177" i="85"/>
  <c r="E177" i="85" s="1"/>
  <c r="I208" i="79" l="1"/>
  <c r="F177" i="85"/>
  <c r="F209" i="79"/>
  <c r="C178" i="85" l="1"/>
  <c r="G209" i="79"/>
  <c r="J209" i="79"/>
  <c r="H178" i="85" s="1"/>
  <c r="G177" i="85"/>
  <c r="L208" i="79"/>
  <c r="J177" i="85" s="1"/>
  <c r="H209" i="79" l="1"/>
  <c r="D178" i="85"/>
  <c r="E178" i="85" s="1"/>
  <c r="I209" i="79" l="1"/>
  <c r="F178" i="85"/>
  <c r="F210" i="79"/>
  <c r="C179" i="85" l="1"/>
  <c r="G210" i="79"/>
  <c r="J210" i="79"/>
  <c r="H179" i="85" s="1"/>
  <c r="G178" i="85"/>
  <c r="L209" i="79"/>
  <c r="J178" i="85" s="1"/>
  <c r="H210" i="79" l="1"/>
  <c r="D179" i="85"/>
  <c r="E179" i="85" s="1"/>
  <c r="I210" i="79" l="1"/>
  <c r="F179" i="85"/>
  <c r="F211" i="79"/>
  <c r="C180" i="85" l="1"/>
  <c r="J211" i="79"/>
  <c r="H180" i="85" s="1"/>
  <c r="G211" i="79"/>
  <c r="G179" i="85"/>
  <c r="L210" i="79"/>
  <c r="J179" i="85" s="1"/>
  <c r="H211" i="79" l="1"/>
  <c r="D180" i="85"/>
  <c r="E180" i="85" s="1"/>
  <c r="I211" i="79" l="1"/>
  <c r="F180" i="85"/>
  <c r="F212" i="79"/>
  <c r="C181" i="85" l="1"/>
  <c r="J212" i="79"/>
  <c r="H181" i="85" s="1"/>
  <c r="G212" i="79"/>
  <c r="G180" i="85"/>
  <c r="L211" i="79"/>
  <c r="J180" i="85" s="1"/>
  <c r="H212" i="79" l="1"/>
  <c r="D181" i="85"/>
  <c r="E181" i="85" s="1"/>
  <c r="I212" i="79" l="1"/>
  <c r="F181" i="85"/>
  <c r="F213" i="79"/>
  <c r="C182" i="85" l="1"/>
  <c r="G213" i="79"/>
  <c r="J213" i="79"/>
  <c r="H182" i="85" s="1"/>
  <c r="G181" i="85"/>
  <c r="L212" i="79"/>
  <c r="J181" i="85" s="1"/>
  <c r="H213" i="79" l="1"/>
  <c r="D182" i="85"/>
  <c r="E182" i="85" s="1"/>
  <c r="I213" i="79" l="1"/>
  <c r="F182" i="85"/>
  <c r="F214" i="79"/>
  <c r="C183" i="85" l="1"/>
  <c r="J214" i="79"/>
  <c r="H183" i="85" s="1"/>
  <c r="G214" i="79"/>
  <c r="G182" i="85"/>
  <c r="L213" i="79"/>
  <c r="J182" i="85" s="1"/>
  <c r="H214" i="79" l="1"/>
  <c r="D183" i="85"/>
  <c r="E183" i="85" s="1"/>
  <c r="I214" i="79" l="1"/>
  <c r="F183" i="85"/>
  <c r="F215" i="79"/>
  <c r="C184" i="85" l="1"/>
  <c r="G215" i="79"/>
  <c r="J215" i="79"/>
  <c r="H184" i="85" s="1"/>
  <c r="G183" i="85"/>
  <c r="L214" i="79"/>
  <c r="J183" i="85" s="1"/>
  <c r="H215" i="79" l="1"/>
  <c r="D184" i="85"/>
  <c r="E184" i="85" s="1"/>
  <c r="I215" i="79" l="1"/>
  <c r="F184" i="85"/>
  <c r="F216" i="79"/>
  <c r="C185" i="85" l="1"/>
  <c r="G216" i="79"/>
  <c r="J216" i="79"/>
  <c r="H185" i="85" s="1"/>
  <c r="G184" i="85"/>
  <c r="L215" i="79"/>
  <c r="J184" i="85" s="1"/>
  <c r="H216" i="79" l="1"/>
  <c r="D185" i="85"/>
  <c r="E185" i="85" s="1"/>
  <c r="I216" i="79" l="1"/>
  <c r="F185" i="85"/>
  <c r="F217" i="79"/>
  <c r="C186" i="85" l="1"/>
  <c r="J217" i="79"/>
  <c r="H186" i="85" s="1"/>
  <c r="G217" i="79"/>
  <c r="G185" i="85"/>
  <c r="L216" i="79"/>
  <c r="J185" i="85" s="1"/>
  <c r="H217" i="79" l="1"/>
  <c r="D186" i="85"/>
  <c r="E186" i="85" s="1"/>
  <c r="I217" i="79" l="1"/>
  <c r="F186" i="85"/>
  <c r="F218" i="79"/>
  <c r="C187" i="85" l="1"/>
  <c r="J218" i="79"/>
  <c r="H187" i="85" s="1"/>
  <c r="G218" i="79"/>
  <c r="G186" i="85"/>
  <c r="L217" i="79"/>
  <c r="J186" i="85" s="1"/>
  <c r="H218" i="79" l="1"/>
  <c r="D187" i="85"/>
  <c r="E187" i="85" s="1"/>
  <c r="I218" i="79" l="1"/>
  <c r="F187" i="85"/>
  <c r="F219" i="79"/>
  <c r="C188" i="85" l="1"/>
  <c r="J219" i="79"/>
  <c r="H188" i="85" s="1"/>
  <c r="G219" i="79"/>
  <c r="G187" i="85"/>
  <c r="L218" i="79"/>
  <c r="J187" i="85" s="1"/>
  <c r="H219" i="79" l="1"/>
  <c r="D188" i="85"/>
  <c r="E188" i="85" s="1"/>
  <c r="I219" i="79" l="1"/>
  <c r="F188" i="85"/>
  <c r="F220" i="79"/>
  <c r="C189" i="85" l="1"/>
  <c r="J220" i="79"/>
  <c r="H189" i="85" s="1"/>
  <c r="G220" i="79"/>
  <c r="G188" i="85"/>
  <c r="L219" i="79"/>
  <c r="J188" i="85" s="1"/>
  <c r="H220" i="79" l="1"/>
  <c r="D189" i="85"/>
  <c r="E189" i="85" s="1"/>
  <c r="I220" i="79" l="1"/>
  <c r="F189" i="85"/>
  <c r="F221" i="79"/>
  <c r="C190" i="85" l="1"/>
  <c r="G221" i="79"/>
  <c r="J221" i="79"/>
  <c r="H190" i="85" s="1"/>
  <c r="G189" i="85"/>
  <c r="L220" i="79"/>
  <c r="J189" i="85" s="1"/>
  <c r="H221" i="79" l="1"/>
  <c r="D190" i="85"/>
  <c r="E190" i="85" s="1"/>
  <c r="I221" i="79" l="1"/>
  <c r="F190" i="85"/>
  <c r="F222" i="79"/>
  <c r="C191" i="85" l="1"/>
  <c r="J222" i="79"/>
  <c r="H191" i="85" s="1"/>
  <c r="G222" i="79"/>
  <c r="G190" i="85"/>
  <c r="L221" i="79"/>
  <c r="J190" i="85" s="1"/>
  <c r="H222" i="79" l="1"/>
  <c r="D191" i="85"/>
  <c r="E191" i="85" s="1"/>
  <c r="I222" i="79" l="1"/>
  <c r="F191" i="85"/>
  <c r="F223" i="79"/>
  <c r="C192" i="85" l="1"/>
  <c r="G223" i="79"/>
  <c r="J223" i="79"/>
  <c r="H192" i="85" s="1"/>
  <c r="G191" i="85"/>
  <c r="L222" i="79"/>
  <c r="J191" i="85" s="1"/>
  <c r="H223" i="79" l="1"/>
  <c r="D192" i="85"/>
  <c r="E192" i="85" s="1"/>
  <c r="I223" i="79" l="1"/>
  <c r="F192" i="85"/>
  <c r="F224" i="79"/>
  <c r="C193" i="85" l="1"/>
  <c r="J224" i="79"/>
  <c r="H193" i="85" s="1"/>
  <c r="G224" i="79"/>
  <c r="G192" i="85"/>
  <c r="L223" i="79"/>
  <c r="J192" i="85" s="1"/>
  <c r="H224" i="79" l="1"/>
  <c r="D193" i="85"/>
  <c r="E193" i="85" s="1"/>
  <c r="I224" i="79" l="1"/>
  <c r="F193" i="85"/>
  <c r="F225" i="79"/>
  <c r="C194" i="85" l="1"/>
  <c r="J225" i="79"/>
  <c r="H194" i="85" s="1"/>
  <c r="G225" i="79"/>
  <c r="G193" i="85"/>
  <c r="L224" i="79"/>
  <c r="J193" i="85" s="1"/>
  <c r="H225" i="79" l="1"/>
  <c r="D194" i="85"/>
  <c r="E194" i="85" s="1"/>
  <c r="I225" i="79" l="1"/>
  <c r="F194" i="85"/>
  <c r="F226" i="79"/>
  <c r="C195" i="85" l="1"/>
  <c r="G226" i="79"/>
  <c r="J226" i="79"/>
  <c r="H195" i="85" s="1"/>
  <c r="G194" i="85"/>
  <c r="L225" i="79"/>
  <c r="J194" i="85" s="1"/>
  <c r="H226" i="79" l="1"/>
  <c r="D195" i="85"/>
  <c r="E195" i="85" s="1"/>
  <c r="I226" i="79" l="1"/>
  <c r="F195" i="85"/>
  <c r="F227" i="79"/>
  <c r="C196" i="85" l="1"/>
  <c r="G227" i="79"/>
  <c r="J227" i="79"/>
  <c r="H196" i="85" s="1"/>
  <c r="G195" i="85"/>
  <c r="L226" i="79"/>
  <c r="J195" i="85" s="1"/>
  <c r="H227" i="79" l="1"/>
  <c r="D196" i="85"/>
  <c r="E196" i="85" s="1"/>
  <c r="I227" i="79" l="1"/>
  <c r="F196" i="85"/>
  <c r="F228" i="79"/>
  <c r="C197" i="85" l="1"/>
  <c r="J228" i="79"/>
  <c r="H197" i="85" s="1"/>
  <c r="G228" i="79"/>
  <c r="G196" i="85"/>
  <c r="L227" i="79"/>
  <c r="J196" i="85" s="1"/>
  <c r="H228" i="79" l="1"/>
  <c r="D197" i="85"/>
  <c r="E197" i="85" s="1"/>
  <c r="I228" i="79" l="1"/>
  <c r="F197" i="85"/>
  <c r="F229" i="79"/>
  <c r="C198" i="85" l="1"/>
  <c r="G229" i="79"/>
  <c r="J229" i="79"/>
  <c r="H198" i="85" s="1"/>
  <c r="G197" i="85"/>
  <c r="L228" i="79"/>
  <c r="J197" i="85" s="1"/>
  <c r="H229" i="79" l="1"/>
  <c r="D198" i="85"/>
  <c r="E198" i="85" s="1"/>
  <c r="I229" i="79" l="1"/>
  <c r="F198" i="85"/>
  <c r="F230" i="79"/>
  <c r="C199" i="85" l="1"/>
  <c r="J230" i="79"/>
  <c r="H199" i="85" s="1"/>
  <c r="G230" i="79"/>
  <c r="G198" i="85"/>
  <c r="L229" i="79"/>
  <c r="J198" i="85" s="1"/>
  <c r="H230" i="79" l="1"/>
  <c r="D199" i="85"/>
  <c r="E199" i="85" s="1"/>
  <c r="I230" i="79" l="1"/>
  <c r="F199" i="85"/>
  <c r="F231" i="79"/>
  <c r="C200" i="85" l="1"/>
  <c r="G231" i="79"/>
  <c r="J231" i="79"/>
  <c r="H200" i="85" s="1"/>
  <c r="G199" i="85"/>
  <c r="L230" i="79"/>
  <c r="J199" i="85" s="1"/>
  <c r="H231" i="79" l="1"/>
  <c r="D200" i="85"/>
  <c r="E200" i="85" s="1"/>
  <c r="I231" i="79" l="1"/>
  <c r="F200" i="85"/>
  <c r="F232" i="79"/>
  <c r="C201" i="85" l="1"/>
  <c r="J232" i="79"/>
  <c r="H201" i="85" s="1"/>
  <c r="G232" i="79"/>
  <c r="G200" i="85"/>
  <c r="L231" i="79"/>
  <c r="J200" i="85" s="1"/>
  <c r="H232" i="79" l="1"/>
  <c r="D201" i="85"/>
  <c r="E201" i="85" s="1"/>
  <c r="I232" i="79" l="1"/>
  <c r="F201" i="85"/>
  <c r="F233" i="79"/>
  <c r="C202" i="85" l="1"/>
  <c r="G233" i="79"/>
  <c r="J233" i="79"/>
  <c r="H202" i="85" s="1"/>
  <c r="G201" i="85"/>
  <c r="L232" i="79"/>
  <c r="J201" i="85" s="1"/>
  <c r="H233" i="79" l="1"/>
  <c r="D202" i="85"/>
  <c r="E202" i="85" s="1"/>
  <c r="I233" i="79" l="1"/>
  <c r="F202" i="85"/>
  <c r="F234" i="79"/>
  <c r="C203" i="85" l="1"/>
  <c r="J234" i="79"/>
  <c r="H203" i="85" s="1"/>
  <c r="G234" i="79"/>
  <c r="G202" i="85"/>
  <c r="L233" i="79"/>
  <c r="J202" i="85" s="1"/>
  <c r="H234" i="79" l="1"/>
  <c r="D203" i="85"/>
  <c r="E203" i="85" s="1"/>
  <c r="I234" i="79" l="1"/>
  <c r="F203" i="85"/>
  <c r="F235" i="79"/>
  <c r="C204" i="85" l="1"/>
  <c r="G235" i="79"/>
  <c r="J235" i="79"/>
  <c r="H204" i="85" s="1"/>
  <c r="G203" i="85"/>
  <c r="L234" i="79"/>
  <c r="J203" i="85" s="1"/>
  <c r="H235" i="79" l="1"/>
  <c r="D204" i="85"/>
  <c r="E204" i="85" s="1"/>
  <c r="I235" i="79" l="1"/>
  <c r="F204" i="85"/>
  <c r="F236" i="79"/>
  <c r="C205" i="85" l="1"/>
  <c r="G236" i="79"/>
  <c r="J236" i="79"/>
  <c r="H205" i="85" s="1"/>
  <c r="G204" i="85"/>
  <c r="L235" i="79"/>
  <c r="J204" i="85" s="1"/>
  <c r="H236" i="79" l="1"/>
  <c r="D205" i="85"/>
  <c r="E205" i="85" s="1"/>
  <c r="I236" i="79" l="1"/>
  <c r="F205" i="85"/>
  <c r="F237" i="79"/>
  <c r="C206" i="85" l="1"/>
  <c r="J237" i="79"/>
  <c r="H206" i="85" s="1"/>
  <c r="G237" i="79"/>
  <c r="G205" i="85"/>
  <c r="L236" i="79"/>
  <c r="J205" i="85" s="1"/>
  <c r="H237" i="79" l="1"/>
  <c r="D206" i="85"/>
  <c r="E206" i="85" s="1"/>
  <c r="I237" i="79" l="1"/>
  <c r="F206" i="85"/>
  <c r="F238" i="79"/>
  <c r="C207" i="85" l="1"/>
  <c r="G238" i="79"/>
  <c r="J238" i="79"/>
  <c r="H207" i="85" s="1"/>
  <c r="G206" i="85"/>
  <c r="L237" i="79"/>
  <c r="J206" i="85" s="1"/>
  <c r="H238" i="79" l="1"/>
  <c r="D207" i="85"/>
  <c r="E207" i="85" s="1"/>
  <c r="I238" i="79" l="1"/>
  <c r="F207" i="85"/>
  <c r="F239" i="79"/>
  <c r="C208" i="85" l="1"/>
  <c r="G239" i="79"/>
  <c r="J239" i="79"/>
  <c r="H208" i="85" s="1"/>
  <c r="G207" i="85"/>
  <c r="L238" i="79"/>
  <c r="J207" i="85" s="1"/>
  <c r="H239" i="79" l="1"/>
  <c r="D208" i="85"/>
  <c r="E208" i="85" s="1"/>
  <c r="I239" i="79" l="1"/>
  <c r="F208" i="85"/>
  <c r="F240" i="79"/>
  <c r="C209" i="85" l="1"/>
  <c r="G240" i="79"/>
  <c r="J240" i="79"/>
  <c r="H209" i="85" s="1"/>
  <c r="G208" i="85"/>
  <c r="L239" i="79"/>
  <c r="J208" i="85" s="1"/>
  <c r="H240" i="79" l="1"/>
  <c r="D209" i="85"/>
  <c r="E209" i="85" s="1"/>
  <c r="I240" i="79" l="1"/>
  <c r="F209" i="85"/>
  <c r="F241" i="79"/>
  <c r="C210" i="85" l="1"/>
  <c r="J241" i="79"/>
  <c r="H210" i="85" s="1"/>
  <c r="G241" i="79"/>
  <c r="G209" i="85"/>
  <c r="L240" i="79"/>
  <c r="J209" i="85" s="1"/>
  <c r="H241" i="79" l="1"/>
  <c r="D210" i="85"/>
  <c r="E210" i="85" s="1"/>
  <c r="I241" i="79" l="1"/>
  <c r="F210" i="85"/>
  <c r="F242" i="79"/>
  <c r="C211" i="85" l="1"/>
  <c r="J242" i="79"/>
  <c r="H211" i="85" s="1"/>
  <c r="G242" i="79"/>
  <c r="G210" i="85"/>
  <c r="L241" i="79"/>
  <c r="J210" i="85" s="1"/>
  <c r="H242" i="79" l="1"/>
  <c r="D211" i="85"/>
  <c r="E211" i="85" s="1"/>
  <c r="I242" i="79" l="1"/>
  <c r="F211" i="85"/>
  <c r="F243" i="79"/>
  <c r="C212" i="85" l="1"/>
  <c r="J243" i="79"/>
  <c r="H212" i="85" s="1"/>
  <c r="G243" i="79"/>
  <c r="G211" i="85"/>
  <c r="L242" i="79"/>
  <c r="J211" i="85" s="1"/>
  <c r="H243" i="79" l="1"/>
  <c r="D212" i="85"/>
  <c r="E212" i="85" s="1"/>
  <c r="I243" i="79" l="1"/>
  <c r="F212" i="85"/>
  <c r="F244" i="79"/>
  <c r="C213" i="85" l="1"/>
  <c r="J244" i="79"/>
  <c r="H213" i="85" s="1"/>
  <c r="G244" i="79"/>
  <c r="G212" i="85"/>
  <c r="L243" i="79"/>
  <c r="J212" i="85" s="1"/>
  <c r="H244" i="79" l="1"/>
  <c r="D213" i="85"/>
  <c r="E213" i="85" s="1"/>
  <c r="I244" i="79" l="1"/>
  <c r="F213" i="85"/>
  <c r="F245" i="79"/>
  <c r="C214" i="85" l="1"/>
  <c r="J245" i="79"/>
  <c r="H214" i="85" s="1"/>
  <c r="G245" i="79"/>
  <c r="G213" i="85"/>
  <c r="L244" i="79"/>
  <c r="J213" i="85" s="1"/>
  <c r="H245" i="79" l="1"/>
  <c r="D214" i="85"/>
  <c r="E214" i="85" s="1"/>
  <c r="I245" i="79" l="1"/>
  <c r="F214" i="85"/>
  <c r="F246" i="79"/>
  <c r="C215" i="85" l="1"/>
  <c r="J246" i="79"/>
  <c r="H215" i="85" s="1"/>
  <c r="G246" i="79"/>
  <c r="G214" i="85"/>
  <c r="L245" i="79"/>
  <c r="J214" i="85" s="1"/>
  <c r="H246" i="79" l="1"/>
  <c r="D215" i="85"/>
  <c r="E215" i="85" s="1"/>
  <c r="I246" i="79" l="1"/>
  <c r="F215" i="85"/>
  <c r="F247" i="79"/>
  <c r="C216" i="85" l="1"/>
  <c r="G247" i="79"/>
  <c r="J247" i="79"/>
  <c r="H216" i="85" s="1"/>
  <c r="G215" i="85"/>
  <c r="L246" i="79"/>
  <c r="J215" i="85" s="1"/>
  <c r="H247" i="79" l="1"/>
  <c r="D216" i="85"/>
  <c r="E216" i="85" s="1"/>
  <c r="I247" i="79" l="1"/>
  <c r="F216" i="85"/>
  <c r="F248" i="79"/>
  <c r="G216" i="85" l="1"/>
  <c r="L247" i="79"/>
  <c r="J216" i="85" s="1"/>
  <c r="C217" i="85"/>
  <c r="G248" i="79"/>
  <c r="J248" i="79"/>
  <c r="H217" i="85" s="1"/>
  <c r="H248" i="79" l="1"/>
  <c r="D217" i="85"/>
  <c r="E217" i="85" s="1"/>
  <c r="I248" i="79" l="1"/>
  <c r="F217" i="85"/>
  <c r="F249" i="79"/>
  <c r="C218" i="85" l="1"/>
  <c r="J249" i="79"/>
  <c r="H218" i="85" s="1"/>
  <c r="G249" i="79"/>
  <c r="G217" i="85"/>
  <c r="L248" i="79"/>
  <c r="J217" i="85" s="1"/>
  <c r="H249" i="79" l="1"/>
  <c r="D218" i="85"/>
  <c r="E218" i="85" s="1"/>
  <c r="I249" i="79" l="1"/>
  <c r="F218" i="85"/>
  <c r="F250" i="79"/>
  <c r="C219" i="85" l="1"/>
  <c r="J250" i="79"/>
  <c r="H219" i="85" s="1"/>
  <c r="G250" i="79"/>
  <c r="G218" i="85"/>
  <c r="L249" i="79"/>
  <c r="J218" i="85" s="1"/>
  <c r="H250" i="79" l="1"/>
  <c r="D219" i="85"/>
  <c r="E219" i="85" s="1"/>
  <c r="I250" i="79" l="1"/>
  <c r="F219" i="85"/>
  <c r="F251" i="79"/>
  <c r="C220" i="85" l="1"/>
  <c r="G251" i="79"/>
  <c r="J251" i="79"/>
  <c r="H220" i="85" s="1"/>
  <c r="G219" i="85"/>
  <c r="L250" i="79"/>
  <c r="J219" i="85" s="1"/>
  <c r="H251" i="79" l="1"/>
  <c r="D220" i="85"/>
  <c r="E220" i="85" s="1"/>
  <c r="I251" i="79" l="1"/>
  <c r="F220" i="85"/>
  <c r="F252" i="79"/>
  <c r="C221" i="85" l="1"/>
  <c r="J252" i="79"/>
  <c r="H221" i="85" s="1"/>
  <c r="G252" i="79"/>
  <c r="H252" i="79" s="1"/>
  <c r="F221" i="85" s="1"/>
  <c r="G220" i="85"/>
  <c r="L251" i="79"/>
  <c r="J220" i="85" s="1"/>
  <c r="F253" i="79" l="1"/>
  <c r="G253" i="79" s="1"/>
  <c r="H253" i="79" s="1"/>
  <c r="F222" i="85" s="1"/>
  <c r="D221" i="85"/>
  <c r="E221" i="85" s="1"/>
  <c r="I252" i="79"/>
  <c r="C222" i="85" l="1"/>
  <c r="J253" i="79"/>
  <c r="H222" i="85" s="1"/>
  <c r="F254" i="79"/>
  <c r="J254" i="79" s="1"/>
  <c r="H223" i="85" s="1"/>
  <c r="G221" i="85"/>
  <c r="L252" i="79"/>
  <c r="J221" i="85" s="1"/>
  <c r="D222" i="85"/>
  <c r="E222" i="85" s="1"/>
  <c r="I253" i="79"/>
  <c r="C223" i="85" l="1"/>
  <c r="G254" i="79"/>
  <c r="H254" i="79" s="1"/>
  <c r="F223" i="85" s="1"/>
  <c r="G222" i="85"/>
  <c r="L253" i="79"/>
  <c r="J222" i="85" s="1"/>
  <c r="F255" i="79" l="1"/>
  <c r="G255" i="79" s="1"/>
  <c r="H255" i="79" s="1"/>
  <c r="F224" i="85" s="1"/>
  <c r="I254" i="79"/>
  <c r="L254" i="79" s="1"/>
  <c r="D223" i="85"/>
  <c r="E223" i="85" s="1"/>
  <c r="G223" i="85" l="1"/>
  <c r="C224" i="85"/>
  <c r="F256" i="79"/>
  <c r="J256" i="79" s="1"/>
  <c r="H225" i="85" s="1"/>
  <c r="I255" i="79"/>
  <c r="G224" i="85" s="1"/>
  <c r="D224" i="85"/>
  <c r="E224" i="85" s="1"/>
  <c r="J255" i="79"/>
  <c r="H224" i="85" s="1"/>
  <c r="J223" i="85"/>
  <c r="C225" i="85" l="1"/>
  <c r="G256" i="79"/>
  <c r="H256" i="79" s="1"/>
  <c r="F225" i="85" s="1"/>
  <c r="L255" i="79"/>
  <c r="J224" i="85" s="1"/>
  <c r="D225" i="85" l="1"/>
  <c r="E225" i="85" s="1"/>
  <c r="F257" i="79"/>
  <c r="G257" i="79" s="1"/>
  <c r="I256" i="79"/>
  <c r="G225" i="85" s="1"/>
  <c r="L256" i="79" l="1"/>
  <c r="J225" i="85" s="1"/>
  <c r="C226" i="85"/>
  <c r="J257" i="79"/>
  <c r="H226" i="85" s="1"/>
  <c r="D226" i="85"/>
  <c r="E226" i="85" s="1"/>
  <c r="H257" i="79"/>
  <c r="F226" i="85" l="1"/>
  <c r="I257" i="79"/>
  <c r="F258" i="79"/>
  <c r="G258" i="79" l="1"/>
  <c r="C227" i="85"/>
  <c r="J258" i="79"/>
  <c r="H227" i="85" s="1"/>
  <c r="G226" i="85"/>
  <c r="L257" i="79"/>
  <c r="J226" i="85" s="1"/>
  <c r="D227" i="85" l="1"/>
  <c r="E227" i="85" s="1"/>
  <c r="H258" i="79"/>
  <c r="I258" i="79" l="1"/>
  <c r="F259" i="79"/>
  <c r="F227" i="85"/>
  <c r="J259" i="79" l="1"/>
  <c r="H228" i="85" s="1"/>
  <c r="C228" i="85"/>
  <c r="G259" i="79"/>
  <c r="G227" i="85"/>
  <c r="L258" i="79"/>
  <c r="J227" i="85" s="1"/>
  <c r="D228" i="85" l="1"/>
  <c r="E228" i="85" s="1"/>
  <c r="H259" i="79"/>
  <c r="I259" i="79" l="1"/>
  <c r="F228" i="85"/>
  <c r="F260" i="79"/>
  <c r="G260" i="79" l="1"/>
  <c r="C229" i="85"/>
  <c r="J260" i="79"/>
  <c r="H229" i="85" s="1"/>
  <c r="G228" i="85"/>
  <c r="L259" i="79"/>
  <c r="J228" i="85" s="1"/>
  <c r="D229" i="85" l="1"/>
  <c r="E229" i="85" s="1"/>
  <c r="H260" i="79"/>
  <c r="I260" i="79" l="1"/>
  <c r="F229" i="85"/>
  <c r="F261" i="79"/>
  <c r="G261" i="79" l="1"/>
  <c r="C230" i="85"/>
  <c r="J261" i="79"/>
  <c r="H230" i="85" s="1"/>
  <c r="G229" i="85"/>
  <c r="L260" i="79"/>
  <c r="J229" i="85" s="1"/>
  <c r="D230" i="85" l="1"/>
  <c r="E230" i="85" s="1"/>
  <c r="H261" i="79"/>
  <c r="I261" i="79" l="1"/>
  <c r="F230" i="85"/>
  <c r="F262" i="79"/>
  <c r="G262" i="79" l="1"/>
  <c r="J262" i="79"/>
  <c r="H231" i="85" s="1"/>
  <c r="C231" i="85"/>
  <c r="G230" i="85"/>
  <c r="L261" i="79"/>
  <c r="J230" i="85" s="1"/>
  <c r="D231" i="85" l="1"/>
  <c r="E231" i="85" s="1"/>
  <c r="H262" i="79"/>
  <c r="I262" i="79" l="1"/>
  <c r="F231" i="85"/>
  <c r="F263" i="79"/>
  <c r="G263" i="79" l="1"/>
  <c r="C232" i="85"/>
  <c r="J263" i="79"/>
  <c r="H232" i="85" s="1"/>
  <c r="G231" i="85"/>
  <c r="L262" i="79"/>
  <c r="J231" i="85" s="1"/>
  <c r="D232" i="85" l="1"/>
  <c r="E232" i="85" s="1"/>
  <c r="H263" i="79"/>
  <c r="I263" i="79" l="1"/>
  <c r="F264" i="79"/>
  <c r="F232" i="85"/>
  <c r="J264" i="79" l="1"/>
  <c r="H233" i="85" s="1"/>
  <c r="C233" i="85"/>
  <c r="G264" i="79"/>
  <c r="G232" i="85"/>
  <c r="L263" i="79"/>
  <c r="J232" i="85" s="1"/>
  <c r="D233" i="85" l="1"/>
  <c r="E233" i="85" s="1"/>
  <c r="H264" i="79"/>
  <c r="I264" i="79" l="1"/>
  <c r="F265" i="79"/>
  <c r="F233" i="85"/>
  <c r="G265" i="79" l="1"/>
  <c r="C234" i="85"/>
  <c r="J265" i="79"/>
  <c r="H234" i="85" s="1"/>
  <c r="G233" i="85"/>
  <c r="L264" i="79"/>
  <c r="J233" i="85" s="1"/>
  <c r="D234" i="85" l="1"/>
  <c r="E234" i="85" s="1"/>
  <c r="H265" i="79"/>
  <c r="I265" i="79" l="1"/>
  <c r="F266" i="79"/>
  <c r="F234" i="85"/>
  <c r="G266" i="79" l="1"/>
  <c r="J266" i="79"/>
  <c r="H235" i="85" s="1"/>
  <c r="C235" i="85"/>
  <c r="G234" i="85"/>
  <c r="L265" i="79"/>
  <c r="J234" i="85" s="1"/>
  <c r="D235" i="85" l="1"/>
  <c r="E235" i="85" s="1"/>
  <c r="H266" i="79"/>
  <c r="I266" i="79" l="1"/>
  <c r="F235" i="85"/>
  <c r="F267" i="79"/>
  <c r="G267" i="79" l="1"/>
  <c r="J267" i="79"/>
  <c r="H236" i="85" s="1"/>
  <c r="C236" i="85"/>
  <c r="L266" i="79"/>
  <c r="J235" i="85" s="1"/>
  <c r="G235" i="85"/>
  <c r="D236" i="85" l="1"/>
  <c r="E236" i="85" s="1"/>
  <c r="H267" i="79"/>
  <c r="F236" i="85" l="1"/>
  <c r="F268" i="79"/>
  <c r="I267" i="79"/>
  <c r="J268" i="79" l="1"/>
  <c r="H237" i="85" s="1"/>
  <c r="G268" i="79"/>
  <c r="C237" i="85"/>
  <c r="L267" i="79"/>
  <c r="J236" i="85" s="1"/>
  <c r="G236" i="85"/>
  <c r="H268" i="79" l="1"/>
  <c r="D237" i="85"/>
  <c r="E237" i="85" s="1"/>
  <c r="I268" i="79" l="1"/>
  <c r="F237" i="85"/>
  <c r="F269" i="79"/>
  <c r="G269" i="79" l="1"/>
  <c r="C238" i="85"/>
  <c r="J269" i="79"/>
  <c r="H238" i="85" s="1"/>
  <c r="G237" i="85"/>
  <c r="L268" i="79"/>
  <c r="J237" i="85" s="1"/>
  <c r="D238" i="85" l="1"/>
  <c r="E238" i="85" s="1"/>
  <c r="H269" i="79"/>
  <c r="I269" i="79" l="1"/>
  <c r="F238" i="85"/>
  <c r="F270" i="79"/>
  <c r="J270" i="79" l="1"/>
  <c r="H239" i="85" s="1"/>
  <c r="C239" i="85"/>
  <c r="G270" i="79"/>
  <c r="G238" i="85"/>
  <c r="L269" i="79"/>
  <c r="J238" i="85" s="1"/>
  <c r="D239" i="85" l="1"/>
  <c r="E239" i="85" s="1"/>
  <c r="H270" i="79"/>
  <c r="I270" i="79" l="1"/>
  <c r="F239" i="85"/>
  <c r="F271" i="79"/>
  <c r="J271" i="79" l="1"/>
  <c r="H240" i="85" s="1"/>
  <c r="C240" i="85"/>
  <c r="G271" i="79"/>
  <c r="G239" i="85"/>
  <c r="L270" i="79"/>
  <c r="J239" i="85" s="1"/>
  <c r="D240" i="85" l="1"/>
  <c r="E240" i="85" s="1"/>
  <c r="H271" i="79"/>
  <c r="I271" i="79" l="1"/>
  <c r="F240" i="85"/>
  <c r="F272" i="79"/>
  <c r="G272" i="79" l="1"/>
  <c r="J272" i="79"/>
  <c r="H241" i="85" s="1"/>
  <c r="C241" i="85"/>
  <c r="G240" i="85"/>
  <c r="L271" i="79"/>
  <c r="J240" i="85" s="1"/>
  <c r="D241" i="85" l="1"/>
  <c r="E241" i="85" s="1"/>
  <c r="H272" i="79"/>
  <c r="I272" i="79" l="1"/>
  <c r="F241" i="85"/>
  <c r="F273" i="79"/>
  <c r="J273" i="79" l="1"/>
  <c r="H242" i="85" s="1"/>
  <c r="C242" i="85"/>
  <c r="G273" i="79"/>
  <c r="G241" i="85"/>
  <c r="L272" i="79"/>
  <c r="J241" i="85" s="1"/>
  <c r="D242" i="85" l="1"/>
  <c r="E242" i="85" s="1"/>
  <c r="H273" i="79"/>
  <c r="I273" i="79" l="1"/>
  <c r="F242" i="85"/>
  <c r="F274" i="79"/>
  <c r="G274" i="79" l="1"/>
  <c r="C243" i="85"/>
  <c r="J274" i="79"/>
  <c r="H243" i="85" s="1"/>
  <c r="G242" i="85"/>
  <c r="L273" i="79"/>
  <c r="J242" i="85" s="1"/>
  <c r="D243" i="85" l="1"/>
  <c r="E243" i="85" s="1"/>
  <c r="H274" i="79"/>
  <c r="I274" i="79" l="1"/>
  <c r="F275" i="79"/>
  <c r="F243" i="85"/>
  <c r="J275" i="79" l="1"/>
  <c r="C244" i="85"/>
  <c r="G275" i="79"/>
  <c r="G243" i="85"/>
  <c r="L274" i="79"/>
  <c r="J243" i="85" s="1"/>
  <c r="H275" i="79" l="1"/>
  <c r="D244" i="85"/>
  <c r="E244" i="85" s="1"/>
  <c r="G276" i="79"/>
  <c r="D3" i="85" s="1"/>
  <c r="J276" i="79"/>
  <c r="H3" i="85" s="1"/>
  <c r="H244" i="85"/>
  <c r="H276" i="79" l="1"/>
  <c r="F3" i="85" s="1"/>
  <c r="I275" i="79"/>
  <c r="F244" i="85"/>
  <c r="G244" i="85" l="1"/>
  <c r="L275" i="79"/>
  <c r="K22" i="79" s="1"/>
  <c r="Q13" i="84" s="1"/>
  <c r="I276" i="79"/>
  <c r="G3" i="85" s="1"/>
  <c r="J244" i="85" l="1"/>
  <c r="L276" i="79"/>
  <c r="J3" i="85" s="1"/>
</calcChain>
</file>

<file path=xl/sharedStrings.xml><?xml version="1.0" encoding="utf-8"?>
<sst xmlns="http://schemas.openxmlformats.org/spreadsheetml/2006/main" count="157" uniqueCount="129">
  <si>
    <t>TOTAL</t>
  </si>
  <si>
    <t>Seguro Daños</t>
  </si>
  <si>
    <t xml:space="preserve"> </t>
  </si>
  <si>
    <t>VALOR COMERCIAL DEL INMUEBLE</t>
  </si>
  <si>
    <t>Factor al Millar</t>
  </si>
  <si>
    <t>Saldo</t>
  </si>
  <si>
    <t>Interés</t>
  </si>
  <si>
    <t>Pago a Capital</t>
  </si>
  <si>
    <t>Pago sin Seguro</t>
  </si>
  <si>
    <t>Pago Total Mensual con seguros</t>
  </si>
  <si>
    <t xml:space="preserve">Seguros Vida </t>
  </si>
  <si>
    <t>Tasa de interés anual fija</t>
  </si>
  <si>
    <t>Tipo de cálculo</t>
  </si>
  <si>
    <t>Crédito Máximo</t>
  </si>
  <si>
    <t>Plazo en años</t>
  </si>
  <si>
    <t>Comisión por apertura</t>
  </si>
  <si>
    <t>Total gastos bancarios</t>
  </si>
  <si>
    <t>No. De mes</t>
  </si>
  <si>
    <t>Adquisición de vivienda</t>
  </si>
  <si>
    <t>factores</t>
  </si>
  <si>
    <t>(2) CAT Costo Anual Total sin IVA. Calculado con el porcentaje de enganche,  plazo de pago y  tasa de interés anual fija durante todo el plazo del crédito indicados en esta cotización, conforme a lo seleccionado por el cliente. Incluye seguro de vida, seguro de daños del inmueble, investigación de crédito, comisión por apertura y costo del avalúo. Para fines informativos y de comparación exclusivamente. Para mayor información de requisitos, comisiones, términos y condiciones, así como del Aviso de Privacidad, favor de consultar la página en internet: bam.com.mx/hipotecario.</t>
  </si>
  <si>
    <t>(3) Los gastos notariales pueden variar de 6% a 9%, en función del valor del inmueble y del Estado de la República Mexicana en donde se realice la operación.</t>
  </si>
  <si>
    <t>Porcentaje de Enganche</t>
  </si>
  <si>
    <t>Costo del avalúo</t>
  </si>
  <si>
    <t>Factor al millar</t>
  </si>
  <si>
    <t>Fecha de cálculo:</t>
  </si>
  <si>
    <t>FACTORES DEL AVALUO</t>
  </si>
  <si>
    <t>(1) El pago mensual incluye seguro de vida y seguro de daños del inmueble, no incluye comisiones iniciales. Pagos mensuales decrecientes a lo largo de la vida del crédito.</t>
  </si>
  <si>
    <r>
      <t xml:space="preserve">Pago mensual </t>
    </r>
    <r>
      <rPr>
        <b/>
        <vertAlign val="superscript"/>
        <sz val="12"/>
        <color theme="1"/>
        <rFont val="Arial"/>
        <family val="2"/>
      </rPr>
      <t>(1)</t>
    </r>
  </si>
  <si>
    <r>
      <t xml:space="preserve">Ingresos </t>
    </r>
    <r>
      <rPr>
        <u/>
        <sz val="12"/>
        <color theme="1"/>
        <rFont val="Arial"/>
        <family val="2"/>
      </rPr>
      <t>mínimos</t>
    </r>
    <r>
      <rPr>
        <sz val="12"/>
        <color theme="1"/>
        <rFont val="Arial"/>
        <family val="2"/>
      </rPr>
      <t xml:space="preserve"> requeridos</t>
    </r>
  </si>
  <si>
    <r>
      <t>CAT</t>
    </r>
    <r>
      <rPr>
        <b/>
        <vertAlign val="superscript"/>
        <sz val="12"/>
        <color theme="1"/>
        <rFont val="Arial"/>
        <family val="2"/>
      </rPr>
      <t>(2)</t>
    </r>
  </si>
  <si>
    <t>Investigación 
de crédito</t>
  </si>
  <si>
    <t>“El presente documento no constituye una oferta vinculante y no forma parte integral del contrato de apertura de crédito con garantía hipotecaria y su respectiva carátula.” . El crédito se encuentra sujeto a los términos y condiciones que determine "Mi Banco" previo análisis de crédito.  Cifras informativas con redondeo.</t>
  </si>
  <si>
    <t>Valor Estimado del inmueble</t>
  </si>
  <si>
    <t>Realice su cotización llenando los campos marcados en amarillo</t>
  </si>
  <si>
    <r>
      <t xml:space="preserve">Gasto inicial </t>
    </r>
    <r>
      <rPr>
        <b/>
        <u/>
        <sz val="12"/>
        <color theme="1"/>
        <rFont val="Arial"/>
        <family val="2"/>
      </rPr>
      <t>estimado</t>
    </r>
    <r>
      <rPr>
        <sz val="12"/>
        <color theme="1"/>
        <rFont val="Arial"/>
        <family val="2"/>
      </rPr>
      <t xml:space="preserve"> total</t>
    </r>
  </si>
  <si>
    <r>
      <t xml:space="preserve">Gastos notariales </t>
    </r>
    <r>
      <rPr>
        <b/>
        <u/>
        <sz val="12"/>
        <color theme="1"/>
        <rFont val="Arial"/>
        <family val="2"/>
      </rPr>
      <t>mínimos</t>
    </r>
    <r>
      <rPr>
        <sz val="12"/>
        <color theme="1"/>
        <rFont val="Arial"/>
        <family val="2"/>
      </rPr>
      <t xml:space="preserve"> estimados 6% </t>
    </r>
    <r>
      <rPr>
        <vertAlign val="superscript"/>
        <sz val="12"/>
        <color theme="1"/>
        <rFont val="Arial"/>
        <family val="2"/>
      </rPr>
      <t>(3)</t>
    </r>
  </si>
  <si>
    <t>Enganche</t>
  </si>
  <si>
    <t>Tasa de Interés</t>
  </si>
  <si>
    <r>
      <t xml:space="preserve">Factor de Pago mensual </t>
    </r>
    <r>
      <rPr>
        <b/>
        <vertAlign val="superscript"/>
        <sz val="12"/>
        <color theme="1"/>
        <rFont val="Arial"/>
        <family val="2"/>
      </rPr>
      <t>(1)</t>
    </r>
  </si>
  <si>
    <t>DE</t>
  </si>
  <si>
    <t>HASTA</t>
  </si>
  <si>
    <t>FACTOR AL MILLAR</t>
  </si>
  <si>
    <t>SUBTOTAL</t>
  </si>
  <si>
    <t>IVA</t>
  </si>
  <si>
    <t>ADELANTE</t>
  </si>
  <si>
    <t>COTIZACION</t>
  </si>
  <si>
    <t>Importe de crédito</t>
  </si>
  <si>
    <t>PRODUCTO</t>
  </si>
  <si>
    <t>Valor de la Vivienda</t>
  </si>
  <si>
    <t>Monto de Crédito</t>
  </si>
  <si>
    <t>Plazo (años)</t>
  </si>
  <si>
    <t>MI CASA-ADQUISICIÓN DE VIVIENDA</t>
  </si>
  <si>
    <t>LIQUIDEZ HIPOTECARIA</t>
  </si>
  <si>
    <t>TASA</t>
  </si>
  <si>
    <t>Seguro de Vida Externo</t>
  </si>
  <si>
    <t>Seguro de Daños Externo</t>
  </si>
  <si>
    <t>PLAZO</t>
  </si>
  <si>
    <t>NO</t>
  </si>
  <si>
    <t>AFORO</t>
  </si>
  <si>
    <t>AFORO MÁXIMO</t>
  </si>
  <si>
    <t>AFORO SOLICITADO</t>
  </si>
  <si>
    <t>TASA DE INTERES ANUAL</t>
  </si>
  <si>
    <t>Comisión Financiada</t>
  </si>
  <si>
    <t>MONTO MINIMO</t>
  </si>
  <si>
    <t>COMISION POR APERTURA</t>
  </si>
  <si>
    <t>COMISION FINANCIADA</t>
  </si>
  <si>
    <t>AFORO MAXIMO</t>
  </si>
  <si>
    <t>ENGANCHE</t>
  </si>
  <si>
    <t>Comisión por Apertura</t>
  </si>
  <si>
    <t>I.V.A. de la Comisión por Apertura</t>
  </si>
  <si>
    <t>Tasa de Interés Anual</t>
  </si>
  <si>
    <t>Plazo</t>
  </si>
  <si>
    <t>20 años</t>
  </si>
  <si>
    <t>Pago Mensual sin Seguros</t>
  </si>
  <si>
    <t>Seguro Vida</t>
  </si>
  <si>
    <t>I.V.A.  De los Intereses (PRIMER MES)</t>
  </si>
  <si>
    <t>Pago Mensual Total</t>
  </si>
  <si>
    <t>Monto a Pagar Notaria al momento de la firma</t>
  </si>
  <si>
    <t>Pago a Vendedor por Banco</t>
  </si>
  <si>
    <t>DETALLE DE PAGO PRESUPUESTO NOTARIAL</t>
  </si>
  <si>
    <t>Gastos Notariales</t>
  </si>
  <si>
    <t>Anticipo</t>
  </si>
  <si>
    <t>LIQUIDACION DE OPERACIÓN COMPRAVENTA</t>
  </si>
  <si>
    <t>Valor Compra Venta</t>
  </si>
  <si>
    <t>Remanente a cubrir para la parte Vendedora</t>
  </si>
  <si>
    <t>COTIZADOR</t>
  </si>
  <si>
    <t>Fecha:</t>
  </si>
  <si>
    <t>Valor del Crédito</t>
  </si>
  <si>
    <t>Mensualidad</t>
  </si>
  <si>
    <t>CAT sin I.V.A.</t>
  </si>
  <si>
    <t>GASTOS</t>
  </si>
  <si>
    <t>Avalúo</t>
  </si>
  <si>
    <t>Desembolso Inicial</t>
  </si>
  <si>
    <t>INTEGRACIÓN DE LA MENSUALIDAD</t>
  </si>
  <si>
    <t>Erogación</t>
  </si>
  <si>
    <t>Seguro de Daños</t>
  </si>
  <si>
    <t>Seguro de Vida</t>
  </si>
  <si>
    <t>GASTOS DE APROBACION</t>
  </si>
  <si>
    <t>FACTOR DE GASTOS NOTARIALES</t>
  </si>
  <si>
    <t>ENGANCHE PESOS</t>
  </si>
  <si>
    <t>Gastos de Aprobación</t>
  </si>
  <si>
    <t>CRÉDITO</t>
  </si>
  <si>
    <t>Ingresos Requeridos</t>
  </si>
  <si>
    <t>IVA Comisión por apertura</t>
  </si>
  <si>
    <t>IVA de los Intereses</t>
  </si>
  <si>
    <t>Valor del Inmueble</t>
  </si>
  <si>
    <t>La presente cotización no constituye una oferta vinculante y se encuentra sujeta a términos y condiciones que determine la institución previo análisis de crédito.</t>
  </si>
  <si>
    <t>% Comisión por Apertura</t>
  </si>
  <si>
    <t>Gastos notariales</t>
  </si>
  <si>
    <t>Cifras informativas.</t>
  </si>
  <si>
    <t>Credito Total</t>
  </si>
  <si>
    <t>% Gastos notariales</t>
  </si>
  <si>
    <t>CONDICIONES GENERALES DEL CRÉDITO</t>
  </si>
  <si>
    <t>Producto</t>
  </si>
  <si>
    <t>SI</t>
  </si>
  <si>
    <t>Crédito + Comisión SIN exeder el aforo máximo</t>
  </si>
  <si>
    <t>Para inicira el tramite requerimos:</t>
  </si>
  <si>
    <t>* Comprobante de Identidad Oficial vigente</t>
  </si>
  <si>
    <t>IFE / INE / Pasaporte</t>
  </si>
  <si>
    <t>* Comprobante de domicilio (no mayor a 2 meses)</t>
  </si>
  <si>
    <t>acreditado)</t>
  </si>
  <si>
    <t>* 6 meses de comprobantes de ingresos</t>
  </si>
  <si>
    <t>cuenta</t>
  </si>
  <si>
    <t>* Solicitud de crédito</t>
  </si>
  <si>
    <t>Ejecutivo y correo</t>
  </si>
  <si>
    <t>Teléfono de contacto</t>
  </si>
  <si>
    <t>Recibos de nómina / Estados de cuenta y las últimas 2 Declaraciones / Recibos de Honorarios y sus estados de cuenta</t>
  </si>
  <si>
    <t>Recibos Luz / Agua / Telefonía fija / Estados de cuenta bancarios (a nombre del cliente)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</si>
</sst>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$&quot;#,##0"/>
    <numFmt numFmtId="167" formatCode="#,##0.00_ ;\-#,##0.00\ "/>
    <numFmt numFmtId="168" formatCode="&quot;$&quot;#,##0.00"/>
    <numFmt numFmtId="169" formatCode="0.00000"/>
    <numFmt numFmtId="170" formatCode="[$-80A]d&quot; de &quot;mmmm&quot; de &quot;yyyy;@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8"/>
      <color rgb="FFC00000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8"/>
      <color theme="1"/>
      <name val="Century Gothic"/>
      <family val="2"/>
    </font>
    <font>
      <b/>
      <sz val="18"/>
      <color theme="3" tint="-0.499984740745262"/>
      <name val="Century Gothic"/>
      <family val="2"/>
    </font>
    <font>
      <b/>
      <sz val="14"/>
      <color rgb="FF00206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rgb="FF0070C0"/>
      <name val="Arial"/>
      <family val="2"/>
    </font>
    <font>
      <i/>
      <sz val="14"/>
      <color theme="1"/>
      <name val="Arial"/>
      <family val="2"/>
    </font>
    <font>
      <sz val="16"/>
      <color theme="1"/>
      <name val="Century Gothic"/>
      <family val="2"/>
    </font>
    <font>
      <sz val="11"/>
      <color theme="8" tint="0.59999389629810485"/>
      <name val="Calibri"/>
      <family val="2"/>
      <scheme val="minor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.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i/>
      <sz val="15"/>
      <color rgb="FFFF0000"/>
      <name val="Arial"/>
      <family val="2"/>
    </font>
    <font>
      <b/>
      <i/>
      <sz val="12"/>
      <color theme="0" tint="-4.9989318521683403E-2"/>
      <name val="Arial"/>
      <family val="2"/>
    </font>
    <font>
      <b/>
      <sz val="9"/>
      <color theme="0"/>
      <name val="Arial"/>
      <family val="2"/>
    </font>
    <font>
      <b/>
      <sz val="12"/>
      <name val="Calibri"/>
      <family val="2"/>
      <scheme val="minor"/>
    </font>
    <font>
      <b/>
      <u/>
      <sz val="11"/>
      <color rgb="FFC00000"/>
      <name val="Arial"/>
      <family val="2"/>
    </font>
    <font>
      <b/>
      <u/>
      <sz val="14"/>
      <color rgb="FF8E0000"/>
      <name val="Calibri"/>
      <family val="2"/>
      <scheme val="minor"/>
    </font>
    <font>
      <sz val="12"/>
      <color rgb="FF8E0000"/>
      <name val="Calibri"/>
      <family val="2"/>
      <scheme val="minor"/>
    </font>
    <font>
      <sz val="11"/>
      <color rgb="FF8E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.5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Arial"/>
      <family val="2"/>
    </font>
    <font>
      <sz val="14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8E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slantDashDot">
        <color theme="1" tint="0.34998626667073579"/>
      </left>
      <right style="slantDashDot">
        <color theme="1" tint="0.34998626667073579"/>
      </right>
      <top style="slantDashDot">
        <color theme="1" tint="0.34998626667073579"/>
      </top>
      <bottom style="slantDashDot">
        <color theme="1" tint="0.34998626667073579"/>
      </bottom>
      <diagonal/>
    </border>
    <border>
      <left style="slantDashDot">
        <color theme="1" tint="0.34998626667073579"/>
      </left>
      <right/>
      <top style="slantDashDot">
        <color theme="1" tint="0.34998626667073579"/>
      </top>
      <bottom style="slantDashDot">
        <color theme="1" tint="0.34998626667073579"/>
      </bottom>
      <diagonal/>
    </border>
    <border>
      <left/>
      <right style="slantDashDot">
        <color theme="1" tint="0.34998626667073579"/>
      </right>
      <top style="slantDashDot">
        <color theme="1" tint="0.34998626667073579"/>
      </top>
      <bottom style="slantDashDot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</cellStyleXfs>
  <cellXfs count="258">
    <xf numFmtId="0" fontId="0" fillId="0" borderId="0" xfId="0"/>
    <xf numFmtId="0" fontId="2" fillId="0" borderId="0" xfId="0" applyFont="1" applyFill="1" applyProtection="1">
      <protection hidden="1"/>
    </xf>
    <xf numFmtId="0" fontId="0" fillId="0" borderId="0" xfId="0" applyFill="1"/>
    <xf numFmtId="0" fontId="0" fillId="4" borderId="0" xfId="0" applyFill="1"/>
    <xf numFmtId="0" fontId="26" fillId="5" borderId="0" xfId="0" applyFont="1" applyFill="1" applyAlignment="1">
      <alignment horizontal="center" vertical="center" wrapText="1"/>
    </xf>
    <xf numFmtId="7" fontId="27" fillId="0" borderId="1" xfId="0" quotePrefix="1" applyNumberFormat="1" applyFont="1" applyBorder="1" applyAlignment="1" applyProtection="1">
      <alignment horizontal="center" vertical="center"/>
      <protection locked="0" hidden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3" fontId="1" fillId="0" borderId="0" xfId="1" applyFont="1"/>
    <xf numFmtId="2" fontId="0" fillId="0" borderId="0" xfId="0" applyNumberFormat="1"/>
    <xf numFmtId="0" fontId="33" fillId="0" borderId="0" xfId="0" applyFont="1" applyAlignment="1">
      <alignment horizontal="center" vertical="center"/>
    </xf>
    <xf numFmtId="168" fontId="34" fillId="0" borderId="0" xfId="0" applyNumberFormat="1" applyFont="1" applyAlignment="1" applyProtection="1">
      <alignment horizontal="center"/>
      <protection hidden="1"/>
    </xf>
    <xf numFmtId="168" fontId="34" fillId="0" borderId="13" xfId="0" applyNumberFormat="1" applyFont="1" applyBorder="1" applyAlignment="1" applyProtection="1">
      <alignment horizontal="center"/>
      <protection hidden="1"/>
    </xf>
    <xf numFmtId="43" fontId="27" fillId="0" borderId="1" xfId="0" quotePrefix="1" applyNumberFormat="1" applyFont="1" applyBorder="1" applyAlignment="1" applyProtection="1">
      <alignment horizontal="center" vertical="center"/>
      <protection locked="0" hidden="1"/>
    </xf>
    <xf numFmtId="7" fontId="0" fillId="0" borderId="0" xfId="0" applyNumberFormat="1"/>
    <xf numFmtId="168" fontId="19" fillId="0" borderId="0" xfId="0" applyNumberFormat="1" applyFont="1" applyAlignment="1" applyProtection="1">
      <alignment horizontal="right"/>
      <protection hidden="1"/>
    </xf>
    <xf numFmtId="168" fontId="32" fillId="0" borderId="0" xfId="0" applyNumberFormat="1" applyFont="1" applyAlignment="1" applyProtection="1">
      <alignment horizontal="right"/>
      <protection hidden="1"/>
    </xf>
    <xf numFmtId="22" fontId="30" fillId="3" borderId="0" xfId="0" applyNumberFormat="1" applyFont="1" applyFill="1"/>
    <xf numFmtId="0" fontId="0" fillId="0" borderId="0" xfId="0" applyProtection="1"/>
    <xf numFmtId="0" fontId="33" fillId="0" borderId="0" xfId="0" applyFont="1" applyAlignment="1" applyProtection="1">
      <alignment horizontal="center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/>
    </xf>
    <xf numFmtId="10" fontId="0" fillId="0" borderId="13" xfId="0" applyNumberFormat="1" applyBorder="1" applyAlignment="1" applyProtection="1">
      <alignment horizontal="center"/>
    </xf>
    <xf numFmtId="0" fontId="0" fillId="0" borderId="14" xfId="0" applyBorder="1" applyProtection="1"/>
    <xf numFmtId="10" fontId="0" fillId="0" borderId="0" xfId="0" applyNumberFormat="1" applyBorder="1" applyAlignment="1" applyProtection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0" fontId="19" fillId="0" borderId="0" xfId="0" applyFont="1" applyBorder="1" applyProtection="1"/>
    <xf numFmtId="0" fontId="29" fillId="0" borderId="0" xfId="0" applyFont="1" applyBorder="1" applyProtection="1"/>
    <xf numFmtId="0" fontId="0" fillId="0" borderId="0" xfId="0" applyFill="1" applyBorder="1" applyProtection="1"/>
    <xf numFmtId="43" fontId="1" fillId="0" borderId="0" xfId="1" applyFont="1" applyBorder="1" applyProtection="1"/>
    <xf numFmtId="10" fontId="1" fillId="0" borderId="0" xfId="1" applyNumberFormat="1" applyFont="1" applyBorder="1" applyAlignment="1" applyProtection="1">
      <alignment horizontal="right"/>
    </xf>
    <xf numFmtId="4" fontId="0" fillId="0" borderId="10" xfId="0" applyNumberFormat="1" applyBorder="1" applyProtection="1"/>
    <xf numFmtId="10" fontId="29" fillId="0" borderId="0" xfId="1" applyNumberFormat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29" fillId="0" borderId="0" xfId="1" applyFont="1" applyBorder="1" applyProtection="1"/>
    <xf numFmtId="43" fontId="1" fillId="0" borderId="2" xfId="1" applyFont="1" applyBorder="1" applyProtection="1"/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9" fillId="0" borderId="0" xfId="0" applyFont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0" fillId="6" borderId="0" xfId="0" applyFill="1"/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8" fontId="6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168" fontId="2" fillId="6" borderId="0" xfId="2" applyNumberFormat="1" applyFont="1" applyFill="1" applyBorder="1" applyProtection="1">
      <protection hidden="1"/>
    </xf>
    <xf numFmtId="168" fontId="2" fillId="6" borderId="7" xfId="2" applyNumberFormat="1" applyFont="1" applyFill="1" applyBorder="1" applyProtection="1">
      <protection hidden="1"/>
    </xf>
    <xf numFmtId="168" fontId="2" fillId="6" borderId="0" xfId="0" applyNumberFormat="1" applyFont="1" applyFill="1" applyBorder="1" applyProtection="1">
      <protection hidden="1"/>
    </xf>
    <xf numFmtId="168" fontId="2" fillId="6" borderId="0" xfId="1" applyNumberFormat="1" applyFont="1" applyFill="1" applyBorder="1" applyProtection="1">
      <protection hidden="1"/>
    </xf>
    <xf numFmtId="0" fontId="2" fillId="6" borderId="8" xfId="0" applyFont="1" applyFill="1" applyBorder="1" applyAlignment="1" applyProtection="1">
      <alignment horizont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166" fontId="5" fillId="6" borderId="4" xfId="2" applyNumberFormat="1" applyFont="1" applyFill="1" applyBorder="1" applyProtection="1">
      <protection hidden="1"/>
    </xf>
    <xf numFmtId="168" fontId="5" fillId="6" borderId="1" xfId="2" applyNumberFormat="1" applyFont="1" applyFill="1" applyBorder="1" applyProtection="1">
      <protection hidden="1"/>
    </xf>
    <xf numFmtId="0" fontId="32" fillId="6" borderId="0" xfId="0" applyFont="1" applyFill="1" applyBorder="1"/>
    <xf numFmtId="0" fontId="32" fillId="6" borderId="0" xfId="0" quotePrefix="1" applyFont="1" applyFill="1" applyBorder="1"/>
    <xf numFmtId="0" fontId="42" fillId="3" borderId="18" xfId="0" applyFont="1" applyFill="1" applyBorder="1" applyAlignment="1" applyProtection="1">
      <alignment horizontal="center"/>
      <protection locked="0" hidden="1"/>
    </xf>
    <xf numFmtId="0" fontId="42" fillId="3" borderId="18" xfId="0" applyFont="1" applyFill="1" applyBorder="1" applyAlignment="1" applyProtection="1">
      <alignment horizontal="center" vertical="center"/>
      <protection locked="0" hidden="1"/>
    </xf>
    <xf numFmtId="44" fontId="0" fillId="0" borderId="0" xfId="2" applyFont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45" fillId="5" borderId="24" xfId="0" applyFont="1" applyFill="1" applyBorder="1" applyAlignment="1" applyProtection="1">
      <alignment horizontal="center" vertical="center" wrapText="1"/>
      <protection hidden="1"/>
    </xf>
    <xf numFmtId="44" fontId="45" fillId="5" borderId="25" xfId="2" applyFont="1" applyFill="1" applyBorder="1" applyAlignment="1" applyProtection="1">
      <alignment horizontal="center" vertical="center" wrapText="1"/>
      <protection hidden="1"/>
    </xf>
    <xf numFmtId="44" fontId="45" fillId="5" borderId="26" xfId="2" applyFont="1" applyFill="1" applyBorder="1" applyAlignment="1" applyProtection="1">
      <alignment horizontal="center" vertical="center" wrapText="1"/>
      <protection hidden="1"/>
    </xf>
    <xf numFmtId="0" fontId="45" fillId="0" borderId="27" xfId="0" applyFont="1" applyFill="1" applyBorder="1" applyAlignment="1" applyProtection="1">
      <alignment horizontal="center" vertical="center" wrapText="1"/>
      <protection hidden="1"/>
    </xf>
    <xf numFmtId="44" fontId="45" fillId="0" borderId="28" xfId="2" applyFont="1" applyFill="1" applyBorder="1" applyAlignment="1" applyProtection="1">
      <alignment horizontal="center" vertical="center" wrapText="1"/>
      <protection hidden="1"/>
    </xf>
    <xf numFmtId="44" fontId="45" fillId="0" borderId="29" xfId="2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6" borderId="0" xfId="0" applyFill="1" applyBorder="1"/>
    <xf numFmtId="0" fontId="15" fillId="6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Protection="1">
      <protection hidden="1"/>
    </xf>
    <xf numFmtId="0" fontId="18" fillId="6" borderId="0" xfId="0" applyFont="1" applyFill="1" applyBorder="1" applyProtection="1">
      <protection hidden="1"/>
    </xf>
    <xf numFmtId="0" fontId="18" fillId="6" borderId="0" xfId="0" applyFont="1" applyFill="1" applyBorder="1" applyAlignment="1" applyProtection="1">
      <alignment horizontal="right"/>
      <protection hidden="1"/>
    </xf>
    <xf numFmtId="14" fontId="18" fillId="6" borderId="0" xfId="0" applyNumberFormat="1" applyFont="1" applyFill="1" applyBorder="1" applyAlignment="1" applyProtection="1">
      <alignment horizontal="center"/>
      <protection hidden="1"/>
    </xf>
    <xf numFmtId="166" fontId="2" fillId="6" borderId="0" xfId="0" applyNumberFormat="1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center" vertical="center" wrapText="1"/>
      <protection hidden="1"/>
    </xf>
    <xf numFmtId="164" fontId="8" fillId="6" borderId="0" xfId="3" applyNumberFormat="1" applyFont="1" applyFill="1" applyBorder="1" applyAlignment="1" applyProtection="1">
      <alignment horizontal="center" vertical="center" wrapText="1"/>
      <protection hidden="1"/>
    </xf>
    <xf numFmtId="164" fontId="8" fillId="6" borderId="0" xfId="1" applyNumberFormat="1" applyFont="1" applyFill="1" applyBorder="1" applyAlignment="1" applyProtection="1">
      <alignment horizontal="center" vertical="center"/>
      <protection hidden="1"/>
    </xf>
    <xf numFmtId="43" fontId="18" fillId="6" borderId="0" xfId="1" applyFont="1" applyFill="1" applyBorder="1" applyAlignment="1" applyProtection="1">
      <alignment horizontal="center" vertical="center"/>
      <protection hidden="1"/>
    </xf>
    <xf numFmtId="43" fontId="18" fillId="6" borderId="0" xfId="1" applyFont="1" applyFill="1" applyBorder="1" applyAlignment="1" applyProtection="1">
      <alignment horizontal="left" vertical="center"/>
      <protection hidden="1"/>
    </xf>
    <xf numFmtId="166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Protection="1">
      <protection hidden="1"/>
    </xf>
    <xf numFmtId="43" fontId="2" fillId="6" borderId="0" xfId="1" applyFont="1" applyFill="1" applyBorder="1" applyAlignment="1" applyProtection="1">
      <alignment horizontal="center"/>
      <protection hidden="1"/>
    </xf>
    <xf numFmtId="166" fontId="2" fillId="6" borderId="0" xfId="0" applyNumberFormat="1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10" fontId="2" fillId="6" borderId="0" xfId="1" applyNumberFormat="1" applyFon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10" fontId="0" fillId="6" borderId="0" xfId="1" applyNumberFormat="1" applyFont="1" applyFill="1" applyBorder="1" applyProtection="1">
      <protection hidden="1"/>
    </xf>
    <xf numFmtId="43" fontId="0" fillId="6" borderId="0" xfId="1" applyFont="1" applyFill="1" applyBorder="1" applyProtection="1">
      <protection hidden="1"/>
    </xf>
    <xf numFmtId="166" fontId="0" fillId="6" borderId="0" xfId="0" applyNumberFormat="1" applyFill="1" applyBorder="1" applyProtection="1">
      <protection hidden="1"/>
    </xf>
    <xf numFmtId="0" fontId="41" fillId="6" borderId="0" xfId="0" applyFont="1" applyFill="1" applyBorder="1" applyAlignment="1" applyProtection="1">
      <alignment horizontal="right"/>
      <protection hidden="1"/>
    </xf>
    <xf numFmtId="10" fontId="35" fillId="6" borderId="0" xfId="3" applyNumberFormat="1" applyFont="1" applyFill="1" applyBorder="1"/>
    <xf numFmtId="0" fontId="42" fillId="6" borderId="0" xfId="0" applyFont="1" applyFill="1" applyBorder="1" applyProtection="1">
      <protection hidden="1"/>
    </xf>
    <xf numFmtId="0" fontId="41" fillId="6" borderId="0" xfId="0" applyFont="1" applyFill="1" applyBorder="1" applyProtection="1">
      <protection hidden="1"/>
    </xf>
    <xf numFmtId="0" fontId="41" fillId="6" borderId="0" xfId="0" applyFont="1" applyFill="1" applyBorder="1" applyAlignment="1" applyProtection="1">
      <alignment horizontal="left"/>
      <protection hidden="1"/>
    </xf>
    <xf numFmtId="0" fontId="40" fillId="6" borderId="0" xfId="0" applyFont="1" applyFill="1" applyBorder="1" applyProtection="1">
      <protection hidden="1"/>
    </xf>
    <xf numFmtId="0" fontId="29" fillId="6" borderId="0" xfId="0" applyFont="1" applyFill="1" applyBorder="1"/>
    <xf numFmtId="168" fontId="4" fillId="6" borderId="0" xfId="0" applyNumberFormat="1" applyFont="1" applyFill="1" applyBorder="1" applyProtection="1">
      <protection hidden="1"/>
    </xf>
    <xf numFmtId="164" fontId="4" fillId="6" borderId="0" xfId="1" applyNumberFormat="1" applyFont="1" applyFill="1" applyBorder="1" applyAlignment="1" applyProtection="1">
      <alignment horizontal="right" vertical="center"/>
      <protection hidden="1"/>
    </xf>
    <xf numFmtId="0" fontId="2" fillId="6" borderId="35" xfId="0" applyFont="1" applyFill="1" applyBorder="1" applyProtection="1">
      <protection hidden="1"/>
    </xf>
    <xf numFmtId="0" fontId="0" fillId="6" borderId="36" xfId="0" applyFill="1" applyBorder="1"/>
    <xf numFmtId="0" fontId="2" fillId="6" borderId="37" xfId="0" applyFont="1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23" fillId="6" borderId="37" xfId="0" applyFont="1" applyFill="1" applyBorder="1" applyProtection="1">
      <protection hidden="1"/>
    </xf>
    <xf numFmtId="0" fontId="0" fillId="6" borderId="37" xfId="0" applyFill="1" applyBorder="1" applyAlignment="1" applyProtection="1">
      <alignment horizontal="center" vertical="center" wrapText="1"/>
      <protection hidden="1"/>
    </xf>
    <xf numFmtId="166" fontId="0" fillId="6" borderId="37" xfId="0" applyNumberFormat="1" applyFill="1" applyBorder="1" applyProtection="1">
      <protection hidden="1"/>
    </xf>
    <xf numFmtId="0" fontId="0" fillId="6" borderId="36" xfId="0" applyFill="1" applyBorder="1" applyAlignment="1">
      <alignment vertical="center"/>
    </xf>
    <xf numFmtId="0" fontId="0" fillId="6" borderId="37" xfId="0" applyFill="1" applyBorder="1" applyAlignment="1" applyProtection="1">
      <alignment vertical="center"/>
      <protection hidden="1"/>
    </xf>
    <xf numFmtId="0" fontId="10" fillId="6" borderId="38" xfId="0" applyFont="1" applyFill="1" applyBorder="1" applyAlignment="1" applyProtection="1">
      <alignment horizontal="center" vertical="center" wrapText="1"/>
      <protection hidden="1"/>
    </xf>
    <xf numFmtId="166" fontId="7" fillId="6" borderId="37" xfId="0" applyNumberFormat="1" applyFont="1" applyFill="1" applyBorder="1" applyAlignment="1" applyProtection="1">
      <alignment horizontal="center" vertical="center" wrapText="1"/>
      <protection hidden="1"/>
    </xf>
    <xf numFmtId="168" fontId="2" fillId="6" borderId="37" xfId="2" applyNumberFormat="1" applyFont="1" applyFill="1" applyBorder="1" applyProtection="1">
      <protection hidden="1"/>
    </xf>
    <xf numFmtId="168" fontId="5" fillId="6" borderId="38" xfId="2" applyNumberFormat="1" applyFont="1" applyFill="1" applyBorder="1" applyProtection="1">
      <protection hidden="1"/>
    </xf>
    <xf numFmtId="0" fontId="0" fillId="6" borderId="39" xfId="0" applyFill="1" applyBorder="1"/>
    <xf numFmtId="0" fontId="32" fillId="6" borderId="40" xfId="0" applyFont="1" applyFill="1" applyBorder="1"/>
    <xf numFmtId="0" fontId="29" fillId="6" borderId="40" xfId="0" applyFont="1" applyFill="1" applyBorder="1"/>
    <xf numFmtId="168" fontId="4" fillId="6" borderId="40" xfId="0" applyNumberFormat="1" applyFont="1" applyFill="1" applyBorder="1" applyProtection="1">
      <protection hidden="1"/>
    </xf>
    <xf numFmtId="0" fontId="2" fillId="6" borderId="40" xfId="0" applyFont="1" applyFill="1" applyBorder="1" applyProtection="1">
      <protection hidden="1"/>
    </xf>
    <xf numFmtId="0" fontId="2" fillId="6" borderId="41" xfId="0" applyFont="1" applyFill="1" applyBorder="1" applyProtection="1">
      <protection hidden="1"/>
    </xf>
    <xf numFmtId="0" fontId="0" fillId="6" borderId="34" xfId="0" applyFill="1" applyBorder="1"/>
    <xf numFmtId="0" fontId="22" fillId="0" borderId="0" xfId="0" applyFont="1" applyFill="1" applyAlignment="1">
      <alignment horizontal="center" vertical="center"/>
    </xf>
    <xf numFmtId="0" fontId="0" fillId="0" borderId="0" xfId="0" applyFill="1" applyProtection="1"/>
    <xf numFmtId="0" fontId="46" fillId="3" borderId="30" xfId="0" applyFont="1" applyFill="1" applyBorder="1" applyAlignment="1" applyProtection="1">
      <alignment horizontal="center"/>
    </xf>
    <xf numFmtId="44" fontId="46" fillId="3" borderId="31" xfId="2" applyFont="1" applyFill="1" applyBorder="1" applyAlignment="1" applyProtection="1">
      <alignment horizontal="center"/>
    </xf>
    <xf numFmtId="44" fontId="46" fillId="3" borderId="32" xfId="2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44" fontId="0" fillId="0" borderId="22" xfId="2" applyFont="1" applyBorder="1" applyAlignment="1" applyProtection="1">
      <alignment horizontal="center"/>
    </xf>
    <xf numFmtId="44" fontId="0" fillId="0" borderId="23" xfId="2" applyFont="1" applyBorder="1" applyAlignment="1" applyProtection="1">
      <alignment horizontal="center"/>
    </xf>
    <xf numFmtId="164" fontId="30" fillId="0" borderId="13" xfId="1" applyNumberFormat="1" applyFont="1" applyBorder="1" applyAlignment="1" applyProtection="1">
      <alignment horizontal="center"/>
    </xf>
    <xf numFmtId="0" fontId="51" fillId="6" borderId="33" xfId="0" applyFont="1" applyFill="1" applyBorder="1"/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52" fillId="0" borderId="0" xfId="0" applyFont="1" applyBorder="1" applyAlignment="1" applyProtection="1">
      <alignment horizontal="center"/>
    </xf>
    <xf numFmtId="0" fontId="52" fillId="0" borderId="0" xfId="0" applyFont="1" applyBorder="1" applyProtection="1"/>
    <xf numFmtId="164" fontId="53" fillId="0" borderId="0" xfId="1" applyNumberFormat="1" applyFont="1" applyBorder="1" applyAlignment="1" applyProtection="1">
      <alignment horizontal="center" vertical="center"/>
      <protection hidden="1"/>
    </xf>
    <xf numFmtId="168" fontId="1" fillId="0" borderId="0" xfId="1" applyNumberFormat="1" applyFont="1" applyBorder="1" applyProtection="1"/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166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8" fontId="2" fillId="0" borderId="0" xfId="2" applyNumberFormat="1" applyFont="1" applyFill="1" applyBorder="1" applyProtection="1">
      <protection hidden="1"/>
    </xf>
    <xf numFmtId="168" fontId="5" fillId="0" borderId="0" xfId="2" applyNumberFormat="1" applyFont="1" applyFill="1" applyBorder="1" applyProtection="1">
      <protection hidden="1"/>
    </xf>
    <xf numFmtId="0" fontId="47" fillId="0" borderId="0" xfId="0" applyFont="1" applyFill="1" applyBorder="1" applyAlignment="1" applyProtection="1">
      <alignment horizontal="center" wrapText="1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/>
    <xf numFmtId="0" fontId="54" fillId="0" borderId="0" xfId="0" applyFont="1" applyFill="1" applyAlignment="1" applyProtection="1">
      <alignment horizontal="center" vertical="center"/>
      <protection hidden="1"/>
    </xf>
    <xf numFmtId="0" fontId="54" fillId="0" borderId="0" xfId="0" applyFont="1" applyFill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165" fontId="54" fillId="0" borderId="0" xfId="1" applyNumberFormat="1" applyFont="1" applyFill="1" applyBorder="1" applyAlignment="1" applyProtection="1">
      <alignment horizontal="center" vertical="center"/>
      <protection hidden="1"/>
    </xf>
    <xf numFmtId="167" fontId="54" fillId="0" borderId="0" xfId="1" applyNumberFormat="1" applyFont="1" applyFill="1" applyBorder="1" applyAlignment="1" applyProtection="1">
      <alignment horizontal="center" vertical="center"/>
      <protection hidden="1"/>
    </xf>
    <xf numFmtId="0" fontId="55" fillId="0" borderId="0" xfId="0" applyFont="1" applyFill="1" applyAlignment="1" applyProtection="1">
      <alignment horizontal="center" vertical="center" wrapText="1"/>
      <protection hidden="1"/>
    </xf>
    <xf numFmtId="166" fontId="56" fillId="0" borderId="0" xfId="0" applyNumberFormat="1" applyFont="1" applyFill="1" applyAlignment="1" applyProtection="1">
      <alignment horizontal="center" vertical="center"/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54" fillId="0" borderId="0" xfId="0" applyFont="1" applyFill="1" applyAlignment="1">
      <alignment vertical="center"/>
    </xf>
    <xf numFmtId="0" fontId="57" fillId="0" borderId="0" xfId="0" applyFont="1" applyFill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Border="1"/>
    <xf numFmtId="166" fontId="59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4" fillId="0" borderId="0" xfId="3" applyNumberFormat="1" applyFont="1" applyFill="1" applyAlignment="1" applyProtection="1">
      <alignment horizontal="center" vertical="center"/>
      <protection hidden="1"/>
    </xf>
    <xf numFmtId="166" fontId="57" fillId="0" borderId="0" xfId="2" applyNumberFormat="1" applyFont="1" applyFill="1" applyBorder="1" applyProtection="1">
      <protection hidden="1"/>
    </xf>
    <xf numFmtId="8" fontId="54" fillId="0" borderId="0" xfId="0" applyNumberFormat="1" applyFont="1" applyFill="1" applyAlignment="1" applyProtection="1">
      <alignment horizontal="center" vertical="center"/>
      <protection hidden="1"/>
    </xf>
    <xf numFmtId="8" fontId="57" fillId="0" borderId="0" xfId="0" applyNumberFormat="1" applyFont="1" applyFill="1" applyAlignment="1" applyProtection="1">
      <alignment horizontal="center" vertical="center"/>
      <protection hidden="1"/>
    </xf>
    <xf numFmtId="166" fontId="60" fillId="0" borderId="0" xfId="2" applyNumberFormat="1" applyFont="1" applyFill="1" applyBorder="1" applyProtection="1">
      <protection hidden="1"/>
    </xf>
    <xf numFmtId="0" fontId="57" fillId="0" borderId="0" xfId="0" applyFont="1" applyFill="1" applyBorder="1" applyProtection="1">
      <protection hidden="1"/>
    </xf>
    <xf numFmtId="0" fontId="57" fillId="0" borderId="0" xfId="0" applyFont="1" applyFill="1" applyProtection="1">
      <protection hidden="1"/>
    </xf>
    <xf numFmtId="10" fontId="54" fillId="0" borderId="0" xfId="3" applyNumberFormat="1" applyFont="1" applyFill="1" applyAlignment="1">
      <alignment horizontal="center" vertical="center"/>
    </xf>
    <xf numFmtId="9" fontId="54" fillId="0" borderId="0" xfId="3" applyNumberFormat="1" applyFont="1" applyFill="1" applyAlignment="1">
      <alignment horizontal="center" vertical="center"/>
    </xf>
    <xf numFmtId="43" fontId="54" fillId="0" borderId="0" xfId="1" applyFont="1" applyFill="1" applyProtection="1">
      <protection hidden="1"/>
    </xf>
    <xf numFmtId="43" fontId="57" fillId="0" borderId="0" xfId="1" applyFont="1" applyFill="1" applyProtection="1">
      <protection hidden="1"/>
    </xf>
    <xf numFmtId="9" fontId="57" fillId="0" borderId="0" xfId="3" applyFont="1" applyFill="1" applyAlignment="1" applyProtection="1">
      <alignment horizontal="center" vertical="center"/>
      <protection hidden="1"/>
    </xf>
    <xf numFmtId="169" fontId="57" fillId="0" borderId="0" xfId="0" applyNumberFormat="1" applyFont="1" applyFill="1" applyAlignment="1" applyProtection="1">
      <alignment horizontal="center" vertical="center"/>
      <protection hidden="1"/>
    </xf>
    <xf numFmtId="43" fontId="57" fillId="0" borderId="0" xfId="1" applyFont="1" applyFill="1" applyAlignment="1" applyProtection="1">
      <alignment horizontal="center" vertical="center"/>
      <protection hidden="1"/>
    </xf>
    <xf numFmtId="0" fontId="57" fillId="0" borderId="0" xfId="0" applyFont="1" applyFill="1" applyAlignment="1">
      <alignment horizontal="center" vertical="center"/>
    </xf>
    <xf numFmtId="0" fontId="18" fillId="6" borderId="0" xfId="0" applyFont="1" applyFill="1" applyBorder="1" applyAlignment="1" applyProtection="1">
      <alignment vertical="center"/>
      <protection hidden="1"/>
    </xf>
    <xf numFmtId="0" fontId="17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right" vertical="center"/>
      <protection hidden="1"/>
    </xf>
    <xf numFmtId="0" fontId="8" fillId="6" borderId="0" xfId="0" applyFont="1" applyFill="1" applyBorder="1" applyAlignment="1" applyProtection="1">
      <alignment vertical="center"/>
      <protection hidden="1"/>
    </xf>
    <xf numFmtId="43" fontId="18" fillId="6" borderId="0" xfId="1" applyFont="1" applyFill="1" applyBorder="1" applyAlignment="1" applyProtection="1">
      <alignment vertical="center"/>
      <protection hidden="1"/>
    </xf>
    <xf numFmtId="43" fontId="17" fillId="6" borderId="0" xfId="1" applyNumberFormat="1" applyFont="1" applyFill="1" applyBorder="1" applyAlignment="1" applyProtection="1">
      <alignment vertical="center"/>
      <protection locked="0"/>
    </xf>
    <xf numFmtId="5" fontId="20" fillId="6" borderId="0" xfId="1" applyNumberFormat="1" applyFont="1" applyFill="1" applyBorder="1" applyAlignment="1" applyProtection="1">
      <alignment vertical="center"/>
      <protection hidden="1"/>
    </xf>
    <xf numFmtId="5" fontId="21" fillId="6" borderId="0" xfId="1" applyNumberFormat="1" applyFont="1" applyFill="1" applyBorder="1" applyAlignment="1" applyProtection="1">
      <alignment vertical="center"/>
      <protection hidden="1"/>
    </xf>
    <xf numFmtId="9" fontId="17" fillId="6" borderId="0" xfId="0" applyNumberFormat="1" applyFont="1" applyFill="1" applyBorder="1" applyAlignment="1" applyProtection="1">
      <alignment vertical="center"/>
      <protection locked="0"/>
    </xf>
    <xf numFmtId="9" fontId="17" fillId="6" borderId="0" xfId="0" applyNumberFormat="1" applyFont="1" applyFill="1" applyBorder="1" applyAlignment="1" applyProtection="1">
      <alignment vertical="center"/>
      <protection hidden="1"/>
    </xf>
    <xf numFmtId="0" fontId="0" fillId="6" borderId="0" xfId="0" applyFill="1" applyBorder="1" applyAlignment="1">
      <alignment vertical="center"/>
    </xf>
    <xf numFmtId="0" fontId="17" fillId="6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hidden="1"/>
    </xf>
    <xf numFmtId="166" fontId="18" fillId="6" borderId="0" xfId="0" applyNumberFormat="1" applyFont="1" applyFill="1" applyBorder="1" applyAlignment="1" applyProtection="1">
      <alignment vertical="center"/>
      <protection hidden="1"/>
    </xf>
    <xf numFmtId="10" fontId="8" fillId="6" borderId="0" xfId="3" applyNumberFormat="1" applyFont="1" applyFill="1" applyBorder="1" applyAlignment="1" applyProtection="1">
      <alignment vertical="center"/>
      <protection hidden="1"/>
    </xf>
    <xf numFmtId="2" fontId="8" fillId="6" borderId="0" xfId="0" applyNumberFormat="1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9" fontId="3" fillId="6" borderId="0" xfId="0" applyNumberFormat="1" applyFont="1" applyFill="1" applyBorder="1" applyAlignment="1" applyProtection="1">
      <alignment vertical="center"/>
      <protection hidden="1"/>
    </xf>
    <xf numFmtId="166" fontId="2" fillId="6" borderId="0" xfId="0" applyNumberFormat="1" applyFont="1" applyFill="1" applyBorder="1" applyAlignment="1" applyProtection="1">
      <alignment vertical="center"/>
      <protection hidden="1"/>
    </xf>
    <xf numFmtId="166" fontId="8" fillId="6" borderId="0" xfId="0" applyNumberFormat="1" applyFont="1" applyFill="1" applyBorder="1" applyAlignment="1" applyProtection="1">
      <alignment horizontal="center" vertical="center"/>
      <protection hidden="1"/>
    </xf>
    <xf numFmtId="166" fontId="3" fillId="6" borderId="0" xfId="0" applyNumberFormat="1" applyFont="1" applyFill="1" applyBorder="1" applyAlignment="1" applyProtection="1">
      <alignment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43" fontId="2" fillId="6" borderId="0" xfId="1" applyFont="1" applyFill="1" applyBorder="1" applyAlignment="1" applyProtection="1">
      <alignment horizontal="center" vertical="center"/>
      <protection hidden="1"/>
    </xf>
    <xf numFmtId="166" fontId="2" fillId="6" borderId="0" xfId="0" applyNumberFormat="1" applyFont="1" applyFill="1" applyBorder="1" applyAlignment="1" applyProtection="1">
      <alignment horizontal="center" vertical="center"/>
      <protection hidden="1"/>
    </xf>
    <xf numFmtId="0" fontId="49" fillId="6" borderId="42" xfId="0" applyFont="1" applyFill="1" applyBorder="1" applyAlignment="1" applyProtection="1">
      <alignment vertical="center"/>
      <protection locked="0"/>
    </xf>
    <xf numFmtId="0" fontId="0" fillId="6" borderId="0" xfId="0" applyFill="1" applyProtection="1"/>
    <xf numFmtId="0" fontId="49" fillId="6" borderId="43" xfId="0" applyFont="1" applyFill="1" applyBorder="1" applyAlignment="1" applyProtection="1">
      <alignment vertical="center"/>
      <protection locked="0"/>
    </xf>
    <xf numFmtId="0" fontId="49" fillId="6" borderId="0" xfId="0" applyFont="1" applyFill="1" applyAlignment="1" applyProtection="1">
      <alignment vertical="center"/>
    </xf>
    <xf numFmtId="164" fontId="54" fillId="0" borderId="0" xfId="3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166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/>
      <protection hidden="1"/>
    </xf>
    <xf numFmtId="0" fontId="39" fillId="6" borderId="0" xfId="0" applyFont="1" applyFill="1" applyBorder="1" applyAlignment="1" applyProtection="1">
      <alignment horizontal="right"/>
      <protection hidden="1"/>
    </xf>
    <xf numFmtId="0" fontId="11" fillId="6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11" fillId="6" borderId="0" xfId="0" applyFont="1" applyFill="1" applyBorder="1" applyAlignment="1" applyProtection="1">
      <alignment horizontal="justify" vertical="center" wrapText="1"/>
      <protection hidden="1"/>
    </xf>
    <xf numFmtId="0" fontId="24" fillId="6" borderId="0" xfId="0" applyFont="1" applyFill="1" applyBorder="1" applyAlignment="1" applyProtection="1">
      <alignment horizontal="left" vertical="center" wrapText="1"/>
      <protection hidden="1"/>
    </xf>
    <xf numFmtId="0" fontId="41" fillId="6" borderId="0" xfId="0" applyFont="1" applyFill="1" applyBorder="1" applyAlignment="1" applyProtection="1">
      <alignment horizontal="center"/>
      <protection hidden="1"/>
    </xf>
    <xf numFmtId="0" fontId="42" fillId="3" borderId="19" xfId="0" applyFont="1" applyFill="1" applyBorder="1" applyAlignment="1" applyProtection="1">
      <alignment horizontal="center"/>
      <protection locked="0" hidden="1"/>
    </xf>
    <xf numFmtId="0" fontId="42" fillId="3" borderId="20" xfId="0" applyFont="1" applyFill="1" applyBorder="1" applyAlignment="1" applyProtection="1">
      <alignment horizontal="center"/>
      <protection locked="0" hidden="1"/>
    </xf>
    <xf numFmtId="8" fontId="42" fillId="3" borderId="19" xfId="1" applyNumberFormat="1" applyFont="1" applyFill="1" applyBorder="1" applyAlignment="1" applyProtection="1">
      <alignment horizontal="center"/>
      <protection locked="0" hidden="1"/>
    </xf>
    <xf numFmtId="43" fontId="42" fillId="3" borderId="20" xfId="1" applyFont="1" applyFill="1" applyBorder="1" applyAlignment="1" applyProtection="1">
      <alignment horizontal="center"/>
      <protection locked="0"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47" fillId="6" borderId="0" xfId="0" applyFont="1" applyFill="1" applyBorder="1" applyAlignment="1" applyProtection="1">
      <alignment horizontal="center" wrapText="1"/>
      <protection hidden="1"/>
    </xf>
    <xf numFmtId="0" fontId="47" fillId="6" borderId="37" xfId="0" applyFont="1" applyFill="1" applyBorder="1" applyAlignment="1" applyProtection="1">
      <alignment horizontal="center" wrapText="1"/>
      <protection hidden="1"/>
    </xf>
    <xf numFmtId="0" fontId="43" fillId="6" borderId="0" xfId="0" applyFont="1" applyFill="1" applyBorder="1" applyAlignment="1" applyProtection="1">
      <alignment horizontal="right"/>
      <protection hidden="1"/>
    </xf>
    <xf numFmtId="0" fontId="54" fillId="0" borderId="44" xfId="0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44" fillId="6" borderId="0" xfId="0" applyFont="1" applyFill="1" applyBorder="1" applyAlignment="1" applyProtection="1">
      <alignment horizontal="left" vertical="center" wrapText="1"/>
      <protection hidden="1"/>
    </xf>
    <xf numFmtId="0" fontId="49" fillId="6" borderId="0" xfId="0" applyFont="1" applyFill="1" applyAlignment="1" applyProtection="1">
      <alignment horizontal="left" vertical="center"/>
    </xf>
    <xf numFmtId="0" fontId="50" fillId="6" borderId="0" xfId="0" applyFont="1" applyFill="1" applyAlignment="1">
      <alignment horizontal="left" vertical="center" wrapText="1"/>
    </xf>
    <xf numFmtId="0" fontId="49" fillId="6" borderId="0" xfId="0" applyFont="1" applyFill="1" applyAlignment="1">
      <alignment horizontal="left" vertical="center"/>
    </xf>
    <xf numFmtId="0" fontId="61" fillId="6" borderId="0" xfId="0" applyFont="1" applyFill="1" applyAlignment="1">
      <alignment horizontal="left" vertical="center" wrapText="1"/>
    </xf>
    <xf numFmtId="168" fontId="38" fillId="0" borderId="0" xfId="0" applyNumberFormat="1" applyFont="1" applyBorder="1" applyAlignment="1" applyProtection="1">
      <alignment horizontal="center" vertical="center"/>
      <protection hidden="1"/>
    </xf>
    <xf numFmtId="0" fontId="48" fillId="6" borderId="0" xfId="0" applyFont="1" applyFill="1" applyAlignment="1">
      <alignment horizontal="center" vertical="center"/>
    </xf>
    <xf numFmtId="0" fontId="50" fillId="6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36" fillId="5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170" fontId="0" fillId="0" borderId="0" xfId="0" applyNumberFormat="1" applyAlignment="1" applyProtection="1">
      <alignment horizontal="center"/>
      <protection hidden="1"/>
    </xf>
    <xf numFmtId="0" fontId="36" fillId="5" borderId="0" xfId="0" applyFont="1" applyFill="1" applyBorder="1" applyAlignment="1" applyProtection="1">
      <alignment horizontal="center"/>
    </xf>
    <xf numFmtId="0" fontId="36" fillId="5" borderId="10" xfId="0" applyFont="1" applyFill="1" applyBorder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/>
    </xf>
    <xf numFmtId="0" fontId="28" fillId="5" borderId="10" xfId="0" applyFont="1" applyFill="1" applyBorder="1" applyAlignment="1" applyProtection="1">
      <alignment horizontal="center"/>
    </xf>
    <xf numFmtId="10" fontId="37" fillId="0" borderId="0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</cellXfs>
  <cellStyles count="6">
    <cellStyle name="Millares" xfId="1" builtinId="3"/>
    <cellStyle name="Moneda" xfId="2" builtinId="4"/>
    <cellStyle name="Moneda 2" xfId="4"/>
    <cellStyle name="Normal" xfId="0" builtinId="0"/>
    <cellStyle name="Normal 2" xfId="5"/>
    <cellStyle name="Porcentaje" xfId="3" builtinId="5"/>
  </cellStyles>
  <dxfs count="1">
    <dxf>
      <font>
        <b/>
        <i/>
        <color rgb="FFFF0000"/>
      </font>
    </dxf>
  </dxfs>
  <tableStyles count="0" defaultTableStyle="TableStyleMedium2" defaultPivotStyle="PivotStyleLight16"/>
  <colors>
    <mruColors>
      <color rgb="FF8E0000"/>
      <color rgb="FF99FF33"/>
      <color rgb="FFE7EEF5"/>
      <color rgb="FFA7E8FF"/>
      <color rgb="FFF5FC9E"/>
      <color rgb="FFCCECFF"/>
      <color rgb="FFFFFFFF"/>
      <color rgb="FFFFFFCC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1571627</xdr:colOff>
      <xdr:row>311</xdr:row>
      <xdr:rowOff>247649</xdr:rowOff>
    </xdr:from>
    <xdr:to>
      <xdr:col>11</xdr:col>
      <xdr:colOff>381000</xdr:colOff>
      <xdr:row>323</xdr:row>
      <xdr:rowOff>142875</xdr:rowOff>
    </xdr:to>
    <xdr:sp macro="" textlink="">
      <xdr:nvSpPr>
        <xdr:cNvPr id="3" name="2 Rectángulo"/>
        <xdr:cNvSpPr/>
      </xdr:nvSpPr>
      <xdr:spPr>
        <a:xfrm flipH="1">
          <a:off x="8175627" y="6772274"/>
          <a:ext cx="5556248" cy="272097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1" u="sng">
              <a:solidFill>
                <a:srgbClr val="8E0000"/>
              </a:solidFill>
            </a:rPr>
            <a:t>Para inicira el tramite requerimos:</a:t>
          </a:r>
        </a:p>
        <a:p>
          <a:pPr algn="l"/>
          <a:endParaRPr lang="es-MX" sz="1200">
            <a:solidFill>
              <a:srgbClr val="8E0000"/>
            </a:solidFill>
          </a:endParaRPr>
        </a:p>
        <a:p>
          <a:pPr algn="l"/>
          <a:r>
            <a:rPr lang="es-MX" sz="1200">
              <a:solidFill>
                <a:srgbClr val="8E0000"/>
              </a:solidFill>
            </a:rPr>
            <a:t>* Comprobante</a:t>
          </a:r>
          <a:r>
            <a:rPr lang="es-MX" sz="1200" baseline="0">
              <a:solidFill>
                <a:srgbClr val="8E0000"/>
              </a:solidFill>
            </a:rPr>
            <a:t> de Identidad Oficial vigente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	</a:t>
          </a:r>
          <a:r>
            <a:rPr lang="es-MX" sz="1100" baseline="0">
              <a:solidFill>
                <a:srgbClr val="8E0000"/>
              </a:solidFill>
            </a:rPr>
            <a:t>IFE / INE / Pasaporte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* Comprobante de domicilio (no mayor a 2 meses)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	</a:t>
          </a:r>
          <a:r>
            <a:rPr lang="es-MX" sz="1100" baseline="0">
              <a:solidFill>
                <a:srgbClr val="8E0000"/>
              </a:solidFill>
            </a:rPr>
            <a:t>Recibos Luz / Agua / Telefonía fija / Estados de cuenta bancarios (a nombre del 	acreditado)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* 6 meses de comprobantes de ingresos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	</a:t>
          </a:r>
          <a:r>
            <a:rPr lang="es-MX" sz="1100" baseline="0">
              <a:solidFill>
                <a:srgbClr val="8E0000"/>
              </a:solidFill>
            </a:rPr>
            <a:t>Recibos de nómina / Estados de cuenta  y 2 últimas Declaracones/ Recibos de Honorarios y sus estados de cuenta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* Solicitud de crédito</a:t>
          </a:r>
        </a:p>
        <a:p>
          <a:pPr algn="l"/>
          <a:endParaRPr lang="es-MX" sz="1200" baseline="0">
            <a:solidFill>
              <a:srgbClr val="8E0000"/>
            </a:solidFill>
          </a:endParaRPr>
        </a:p>
        <a:p>
          <a:pPr algn="l"/>
          <a:r>
            <a:rPr lang="es-MX" sz="1200" baseline="0">
              <a:solidFill>
                <a:srgbClr val="8E0000"/>
              </a:solidFill>
            </a:rPr>
            <a:t>Ejecutivo y correo _______________________________________________________</a:t>
          </a:r>
        </a:p>
        <a:p>
          <a:pPr algn="l"/>
          <a:r>
            <a:rPr lang="es-MX" sz="1200" baseline="0">
              <a:solidFill>
                <a:srgbClr val="8E0000"/>
              </a:solidFill>
            </a:rPr>
            <a:t>Teléfono de contacto_____________________________</a:t>
          </a:r>
          <a:endParaRPr lang="es-MX" sz="1200">
            <a:solidFill>
              <a:srgbClr val="8E0000"/>
            </a:solidFill>
          </a:endParaRPr>
        </a:p>
      </xdr:txBody>
    </xdr:sp>
    <xdr:clientData/>
  </xdr:twoCellAnchor>
  <xdr:twoCellAnchor>
    <xdr:from>
      <xdr:col>4</xdr:col>
      <xdr:colOff>746125</xdr:colOff>
      <xdr:row>2</xdr:row>
      <xdr:rowOff>15875</xdr:rowOff>
    </xdr:from>
    <xdr:to>
      <xdr:col>10</xdr:col>
      <xdr:colOff>793750</xdr:colOff>
      <xdr:row>282</xdr:row>
      <xdr:rowOff>15876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0" y="15875"/>
          <a:ext cx="9318625" cy="3476626"/>
        </a:xfrm>
        <a:prstGeom prst="rect">
          <a:avLst/>
        </a:prstGeom>
        <a:noFill/>
        <a:ln w="9525">
          <a:solidFill>
            <a:srgbClr val="8E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130967</xdr:rowOff>
    </xdr:from>
    <xdr:to>
      <xdr:col>7</xdr:col>
      <xdr:colOff>184164</xdr:colOff>
      <xdr:row>4</xdr:row>
      <xdr:rowOff>83347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30967"/>
          <a:ext cx="2870214" cy="61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W662"/>
  <sheetViews>
    <sheetView showGridLines="0" showRowColHeaders="0" showZeros="0" tabSelected="1" topLeftCell="C3" zoomScale="60" zoomScaleNormal="60" zoomScalePageLayoutView="51" workbookViewId="0">
      <selection activeCell="G305" sqref="G305"/>
    </sheetView>
  </sheetViews>
  <sheetFormatPr baseColWidth="10" defaultColWidth="0" defaultRowHeight="15" zeroHeight="1" x14ac:dyDescent="0.25"/>
  <cols>
    <col min="1" max="1" width="50.7109375" style="2" hidden="1" customWidth="1"/>
    <col min="2" max="2" width="12.42578125" style="2" hidden="1" customWidth="1"/>
    <col min="3" max="3" width="30.7109375" style="2" customWidth="1"/>
    <col min="4" max="4" width="7.140625" style="2" customWidth="1"/>
    <col min="5" max="6" width="17.85546875" style="2" customWidth="1"/>
    <col min="7" max="7" width="25.5703125" style="2" customWidth="1"/>
    <col min="8" max="8" width="27.5703125" style="2" customWidth="1"/>
    <col min="9" max="9" width="24.85546875" style="2" customWidth="1"/>
    <col min="10" max="10" width="25.5703125" style="2" customWidth="1"/>
    <col min="11" max="11" width="23.28515625" style="2" customWidth="1"/>
    <col min="12" max="12" width="7.140625" style="2" customWidth="1"/>
    <col min="13" max="13" width="30.7109375" style="2" customWidth="1"/>
    <col min="14" max="14" width="16.85546875" style="158" hidden="1" customWidth="1"/>
    <col min="15" max="15" width="37.28515625" style="158" hidden="1" customWidth="1"/>
    <col min="16" max="16" width="14" style="158" hidden="1" customWidth="1"/>
    <col min="17" max="17" width="17.28515625" style="158" hidden="1" customWidth="1"/>
    <col min="18" max="18" width="28.85546875" style="158" hidden="1" customWidth="1"/>
    <col min="19" max="19" width="16.42578125" style="159" hidden="1" customWidth="1"/>
    <col min="20" max="20" width="27.7109375" style="159" hidden="1" customWidth="1"/>
    <col min="21" max="21" width="35.85546875" style="159" hidden="1" customWidth="1"/>
    <col min="22" max="31" width="5.7109375" style="159" hidden="1" customWidth="1"/>
    <col min="32" max="75" width="11.42578125" style="159" hidden="1" customWidth="1"/>
    <col min="76" max="16384" width="5.7109375" style="2" hidden="1"/>
  </cols>
  <sheetData>
    <row r="1" spans="1:22" ht="19.5" hidden="1" x14ac:dyDescent="0.25">
      <c r="D1" s="3"/>
      <c r="E1" s="218" t="s">
        <v>34</v>
      </c>
      <c r="F1" s="218"/>
      <c r="G1" s="218"/>
      <c r="H1" s="218"/>
      <c r="I1" s="218"/>
      <c r="J1" s="218"/>
      <c r="K1" s="218"/>
      <c r="L1" s="50"/>
    </row>
    <row r="2" spans="1:22" ht="20.100000000000001" hidden="1" customHeight="1" thickBot="1" x14ac:dyDescent="0.3">
      <c r="E2" s="129"/>
      <c r="F2" s="129"/>
      <c r="G2" s="129"/>
      <c r="H2" s="129"/>
      <c r="I2" s="129"/>
      <c r="J2" s="129"/>
      <c r="K2" s="129"/>
    </row>
    <row r="3" spans="1:22" x14ac:dyDescent="0.25">
      <c r="D3" s="139"/>
      <c r="E3" s="128"/>
      <c r="F3" s="128"/>
      <c r="G3" s="128"/>
      <c r="H3" s="128"/>
      <c r="I3" s="128"/>
      <c r="J3" s="128"/>
      <c r="K3" s="128"/>
      <c r="L3" s="109"/>
      <c r="M3" s="147"/>
    </row>
    <row r="4" spans="1:22" x14ac:dyDescent="0.25">
      <c r="D4" s="110"/>
      <c r="E4" s="78"/>
      <c r="F4" s="78"/>
      <c r="G4" s="78"/>
      <c r="H4" s="78"/>
      <c r="I4" s="78"/>
      <c r="J4" s="78"/>
      <c r="K4" s="78"/>
      <c r="L4" s="111"/>
      <c r="M4" s="147"/>
    </row>
    <row r="5" spans="1:22" x14ac:dyDescent="0.25">
      <c r="D5" s="110"/>
      <c r="E5" s="78"/>
      <c r="F5" s="78"/>
      <c r="G5" s="78"/>
      <c r="H5" s="78"/>
      <c r="I5" s="78"/>
      <c r="J5" s="78"/>
      <c r="K5" s="78"/>
      <c r="L5" s="111"/>
      <c r="M5" s="147"/>
    </row>
    <row r="6" spans="1:22" x14ac:dyDescent="0.25">
      <c r="D6" s="110"/>
      <c r="E6" s="78"/>
      <c r="F6" s="78"/>
      <c r="G6" s="78"/>
      <c r="H6" s="78"/>
      <c r="I6" s="78"/>
      <c r="J6" s="78"/>
      <c r="K6" s="78"/>
      <c r="L6" s="111"/>
      <c r="M6" s="147"/>
    </row>
    <row r="7" spans="1:22" x14ac:dyDescent="0.25">
      <c r="A7" s="2" t="s">
        <v>2</v>
      </c>
      <c r="D7" s="110"/>
      <c r="E7" s="78"/>
      <c r="F7" s="78"/>
      <c r="G7" s="78"/>
      <c r="H7" s="78"/>
      <c r="I7" s="78"/>
      <c r="J7" s="78"/>
      <c r="K7" s="78"/>
      <c r="L7" s="111"/>
      <c r="M7" s="147"/>
    </row>
    <row r="8" spans="1:22" x14ac:dyDescent="0.25">
      <c r="D8" s="110"/>
      <c r="E8" s="78"/>
      <c r="F8" s="78"/>
      <c r="G8" s="78"/>
      <c r="H8" s="78"/>
      <c r="I8" s="78"/>
      <c r="J8" s="78"/>
      <c r="K8" s="78"/>
      <c r="L8" s="111"/>
      <c r="M8" s="147"/>
    </row>
    <row r="9" spans="1:22" x14ac:dyDescent="0.25">
      <c r="D9" s="110"/>
      <c r="E9" s="78"/>
      <c r="F9" s="78"/>
      <c r="G9" s="78"/>
      <c r="H9" s="78"/>
      <c r="I9" s="78"/>
      <c r="J9" s="78"/>
      <c r="K9" s="78"/>
      <c r="L9" s="111"/>
      <c r="M9" s="147"/>
    </row>
    <row r="10" spans="1:22" x14ac:dyDescent="0.25">
      <c r="D10" s="110"/>
      <c r="E10" s="78"/>
      <c r="F10" s="78"/>
      <c r="G10" s="78"/>
      <c r="H10" s="78"/>
      <c r="I10" s="78"/>
      <c r="J10" s="78"/>
      <c r="K10" s="78"/>
      <c r="L10" s="111"/>
      <c r="M10" s="147"/>
    </row>
    <row r="11" spans="1:22" ht="22.5" x14ac:dyDescent="0.3">
      <c r="D11" s="110"/>
      <c r="E11" s="221" t="str">
        <f>CONCATENATE("CALCULADORA DE CRÉDITO HIPOTECARIO : ",G301,"")</f>
        <v>CALCULADORA DE CRÉDITO HIPOTECARIO : MI CASA-ADQUISICIÓN DE VIVIENDA</v>
      </c>
      <c r="F11" s="221"/>
      <c r="G11" s="221"/>
      <c r="H11" s="221"/>
      <c r="I11" s="221"/>
      <c r="J11" s="221"/>
      <c r="K11" s="221"/>
      <c r="L11" s="111"/>
      <c r="M11" s="147"/>
      <c r="N11" s="160"/>
      <c r="O11" s="160"/>
      <c r="P11" s="160"/>
      <c r="Q11" s="160"/>
      <c r="R11" s="160"/>
      <c r="S11" s="161"/>
      <c r="T11" s="161"/>
      <c r="U11" s="161"/>
      <c r="V11" s="161"/>
    </row>
    <row r="12" spans="1:22" ht="22.5" x14ac:dyDescent="0.3">
      <c r="D12" s="110"/>
      <c r="E12" s="79"/>
      <c r="F12" s="79"/>
      <c r="G12" s="79"/>
      <c r="H12" s="79"/>
      <c r="I12" s="79"/>
      <c r="J12" s="79"/>
      <c r="K12" s="79"/>
      <c r="L12" s="111"/>
      <c r="M12" s="147"/>
      <c r="N12" s="160"/>
      <c r="O12" s="160"/>
      <c r="P12" s="160"/>
      <c r="Q12" s="160"/>
      <c r="R12" s="160"/>
      <c r="S12" s="161"/>
      <c r="T12" s="161"/>
      <c r="U12" s="161"/>
      <c r="V12" s="161"/>
    </row>
    <row r="13" spans="1:22" ht="18.75" x14ac:dyDescent="0.3">
      <c r="D13" s="110"/>
      <c r="E13" s="80"/>
      <c r="F13" s="80"/>
      <c r="G13" s="81" t="s">
        <v>18</v>
      </c>
      <c r="H13" s="80"/>
      <c r="I13" s="80"/>
      <c r="J13" s="80"/>
      <c r="K13" s="80"/>
      <c r="L13" s="112"/>
      <c r="M13" s="148"/>
      <c r="N13" s="160"/>
      <c r="O13" s="160"/>
      <c r="P13" s="160"/>
      <c r="Q13" s="160"/>
      <c r="R13" s="160"/>
      <c r="S13" s="161"/>
      <c r="T13" s="161"/>
      <c r="U13" s="161"/>
      <c r="V13" s="161"/>
    </row>
    <row r="14" spans="1:22" ht="18.75" hidden="1" thickBot="1" x14ac:dyDescent="0.3">
      <c r="D14" s="110"/>
      <c r="E14" s="81"/>
      <c r="F14" s="81"/>
      <c r="G14" s="81"/>
      <c r="H14" s="81"/>
      <c r="I14" s="81"/>
      <c r="J14" s="82" t="s">
        <v>25</v>
      </c>
      <c r="K14" s="83">
        <f ca="1">+TODAY()</f>
        <v>43360</v>
      </c>
      <c r="L14" s="112"/>
      <c r="M14" s="148"/>
      <c r="N14" s="160"/>
      <c r="O14" s="236" t="s">
        <v>26</v>
      </c>
      <c r="P14" s="236"/>
      <c r="Q14" s="236"/>
      <c r="R14" s="160"/>
      <c r="S14" s="161"/>
      <c r="T14" s="161"/>
      <c r="U14" s="161"/>
      <c r="V14" s="161"/>
    </row>
    <row r="15" spans="1:22" ht="18" hidden="1" x14ac:dyDescent="0.25">
      <c r="D15" s="110"/>
      <c r="E15" s="188" t="s">
        <v>12</v>
      </c>
      <c r="F15" s="188"/>
      <c r="G15" s="189" t="s">
        <v>47</v>
      </c>
      <c r="H15" s="190"/>
      <c r="I15" s="191"/>
      <c r="J15" s="192"/>
      <c r="K15" s="192"/>
      <c r="L15" s="112"/>
      <c r="M15" s="148"/>
      <c r="N15" s="160"/>
      <c r="O15" s="237" t="s">
        <v>3</v>
      </c>
      <c r="P15" s="238"/>
      <c r="Q15" s="140" t="s">
        <v>4</v>
      </c>
      <c r="R15" s="160"/>
      <c r="S15" s="161"/>
      <c r="T15" s="161"/>
      <c r="U15" s="161"/>
      <c r="V15" s="161"/>
    </row>
    <row r="16" spans="1:22" ht="18.75" hidden="1" x14ac:dyDescent="0.25">
      <c r="D16" s="110"/>
      <c r="E16" s="188" t="str">
        <f>+IF(G15="Valor del inmueble","Valor del inmueble","Monto de crédito")</f>
        <v>Monto de crédito</v>
      </c>
      <c r="F16" s="188"/>
      <c r="G16" s="193">
        <f>G304</f>
        <v>0</v>
      </c>
      <c r="H16" s="194" t="str">
        <f>+IF(G15="Valor del inmueble","   Valor mínimo del inmueble $1,000,000","   Importe mínimo de Crédito $300,000    Máximo $3,000,000")</f>
        <v xml:space="preserve">   Importe mínimo de Crédito $300,000    Máximo $3,000,000</v>
      </c>
      <c r="I16" s="188"/>
      <c r="J16" s="195"/>
      <c r="K16" s="195"/>
      <c r="L16" s="113">
        <f>IF(G15="Valor del inmueble",1000000,IF(G15="Importe de crédito",300000,0))</f>
        <v>300000</v>
      </c>
      <c r="M16" s="149"/>
      <c r="N16" s="162"/>
      <c r="O16" s="163">
        <v>500001</v>
      </c>
      <c r="P16" s="163">
        <v>1000000</v>
      </c>
      <c r="Q16" s="164">
        <v>2.75</v>
      </c>
      <c r="R16" s="160"/>
      <c r="S16" s="161"/>
      <c r="T16" s="161"/>
      <c r="U16" s="161"/>
      <c r="V16" s="161"/>
    </row>
    <row r="17" spans="4:75" ht="18" hidden="1" x14ac:dyDescent="0.25">
      <c r="D17" s="110"/>
      <c r="E17" s="188" t="s">
        <v>22</v>
      </c>
      <c r="F17" s="188"/>
      <c r="G17" s="196">
        <f>O319/100</f>
        <v>1</v>
      </c>
      <c r="H17" s="197"/>
      <c r="I17" s="198"/>
      <c r="J17" s="188"/>
      <c r="K17" s="188"/>
      <c r="L17" s="112"/>
      <c r="M17" s="148"/>
      <c r="N17" s="162"/>
      <c r="O17" s="163">
        <v>1000001</v>
      </c>
      <c r="P17" s="163">
        <v>1500000</v>
      </c>
      <c r="Q17" s="164">
        <v>2.2400000000000002</v>
      </c>
      <c r="R17" s="160"/>
      <c r="S17" s="161"/>
      <c r="T17" s="161"/>
      <c r="U17" s="161"/>
      <c r="V17" s="161"/>
    </row>
    <row r="18" spans="4:75" ht="33.75" hidden="1" x14ac:dyDescent="0.25">
      <c r="D18" s="110"/>
      <c r="E18" s="188" t="s">
        <v>14</v>
      </c>
      <c r="F18" s="188"/>
      <c r="G18" s="199">
        <f>G306</f>
        <v>20</v>
      </c>
      <c r="H18" s="200"/>
      <c r="I18" s="157" t="s">
        <v>39</v>
      </c>
      <c r="J18" s="188">
        <f>IF(G16="Valor de inmueble",1000000,0)</f>
        <v>0</v>
      </c>
      <c r="K18" s="201"/>
      <c r="L18" s="112"/>
      <c r="M18" s="148"/>
      <c r="N18" s="162"/>
      <c r="O18" s="163">
        <v>1500001</v>
      </c>
      <c r="P18" s="163">
        <v>2000000</v>
      </c>
      <c r="Q18" s="164">
        <v>2.11</v>
      </c>
      <c r="R18" s="160"/>
      <c r="S18" s="161"/>
      <c r="T18" s="161"/>
      <c r="U18" s="161"/>
      <c r="V18" s="161"/>
    </row>
    <row r="19" spans="4:75" ht="18" hidden="1" x14ac:dyDescent="0.25">
      <c r="D19" s="110"/>
      <c r="E19" s="188" t="s">
        <v>11</v>
      </c>
      <c r="F19" s="188"/>
      <c r="G19" s="202">
        <f>VLOOKUP(G301,PRODUCTOS_1,2,0)</f>
        <v>0.14499999999999999</v>
      </c>
      <c r="H19" s="202"/>
      <c r="I19" s="203" t="e">
        <f>H35/G22*1000</f>
        <v>#DIV/0!</v>
      </c>
      <c r="J19" s="188"/>
      <c r="K19" s="188"/>
      <c r="L19" s="112"/>
      <c r="M19" s="148"/>
      <c r="N19" s="162"/>
      <c r="O19" s="163">
        <v>2000001</v>
      </c>
      <c r="P19" s="163">
        <v>2500000</v>
      </c>
      <c r="Q19" s="164">
        <v>2.09</v>
      </c>
      <c r="R19" s="160"/>
      <c r="S19" s="161"/>
      <c r="T19" s="161"/>
      <c r="U19" s="161"/>
      <c r="V19" s="161"/>
    </row>
    <row r="20" spans="4:75" hidden="1" x14ac:dyDescent="0.25">
      <c r="D20" s="110"/>
      <c r="E20" s="204"/>
      <c r="F20" s="204"/>
      <c r="G20" s="204"/>
      <c r="H20" s="204"/>
      <c r="I20" s="204"/>
      <c r="J20" s="205"/>
      <c r="K20" s="206"/>
      <c r="L20" s="112"/>
      <c r="M20" s="148"/>
      <c r="N20" s="162"/>
      <c r="O20" s="163">
        <v>2500001</v>
      </c>
      <c r="P20" s="163">
        <v>3000000</v>
      </c>
      <c r="Q20" s="164">
        <v>1.96</v>
      </c>
      <c r="R20" s="160"/>
      <c r="S20" s="161"/>
      <c r="T20" s="161"/>
      <c r="U20" s="161"/>
      <c r="V20" s="161"/>
    </row>
    <row r="21" spans="4:75" ht="45" hidden="1" x14ac:dyDescent="0.25">
      <c r="D21" s="110"/>
      <c r="E21" s="157" t="e">
        <f>IF(G16="",N21,IF(N22&lt;1000000,"Valor Minimo del Inmueble","Valor Estimado del Inmueble"))</f>
        <v>#DIV/0!</v>
      </c>
      <c r="F21" s="157"/>
      <c r="G21" s="219" t="s">
        <v>13</v>
      </c>
      <c r="H21" s="219"/>
      <c r="I21" s="157" t="s">
        <v>28</v>
      </c>
      <c r="J21" s="157" t="s">
        <v>29</v>
      </c>
      <c r="K21" s="85" t="s">
        <v>30</v>
      </c>
      <c r="L21" s="114"/>
      <c r="M21" s="150"/>
      <c r="N21" s="165" t="s">
        <v>33</v>
      </c>
      <c r="O21" s="163">
        <v>3000001</v>
      </c>
      <c r="P21" s="163">
        <v>3500000</v>
      </c>
      <c r="Q21" s="164">
        <v>1.91</v>
      </c>
      <c r="R21" s="160"/>
      <c r="S21" s="161"/>
      <c r="T21" s="161"/>
      <c r="U21" s="161"/>
      <c r="V21" s="161"/>
    </row>
    <row r="22" spans="4:75" ht="18" hidden="1" x14ac:dyDescent="0.25">
      <c r="D22" s="110"/>
      <c r="E22" s="90">
        <f>G303</f>
        <v>1000000</v>
      </c>
      <c r="F22" s="90"/>
      <c r="G22" s="220">
        <f>IF(J311="SI",G16+F25+F27,G16)</f>
        <v>0</v>
      </c>
      <c r="H22" s="220"/>
      <c r="I22" s="207">
        <f>+PMT(G19/12,G18*12,-G22)+(G22/1000*0.463)+(E22/1000*0.239)</f>
        <v>239</v>
      </c>
      <c r="J22" s="90">
        <f>+I22*2.5</f>
        <v>597.5</v>
      </c>
      <c r="K22" s="86" t="e">
        <f>(1+IRR(L35:L275,0.01))^12-1</f>
        <v>#DIV/0!</v>
      </c>
      <c r="L22" s="115"/>
      <c r="M22" s="151"/>
      <c r="N22" s="166" t="e">
        <f>+IF($G$15="Valor del inmueble",G16,G22/(1-G17))</f>
        <v>#DIV/0!</v>
      </c>
      <c r="O22" s="163">
        <v>3500001</v>
      </c>
      <c r="P22" s="163">
        <v>4000000</v>
      </c>
      <c r="Q22" s="164">
        <v>1.89</v>
      </c>
      <c r="R22" s="160"/>
      <c r="S22" s="161"/>
      <c r="T22" s="161"/>
      <c r="U22" s="161"/>
      <c r="V22" s="161"/>
    </row>
    <row r="23" spans="4:75" hidden="1" x14ac:dyDescent="0.25">
      <c r="D23" s="110"/>
      <c r="E23" s="204"/>
      <c r="F23" s="208"/>
      <c r="G23" s="208"/>
      <c r="H23" s="208"/>
      <c r="I23" s="208"/>
      <c r="J23" s="208" t="s">
        <v>2</v>
      </c>
      <c r="K23" s="208"/>
      <c r="L23" s="112"/>
      <c r="M23" s="148"/>
      <c r="N23" s="162"/>
      <c r="O23" s="163">
        <v>4000001</v>
      </c>
      <c r="P23" s="163">
        <v>4500000</v>
      </c>
      <c r="Q23" s="164">
        <v>1.91</v>
      </c>
      <c r="R23" s="160"/>
      <c r="S23" s="161"/>
      <c r="T23" s="161"/>
      <c r="U23" s="161"/>
      <c r="V23" s="161"/>
    </row>
    <row r="24" spans="4:75" ht="48.75" hidden="1" x14ac:dyDescent="0.25">
      <c r="D24" s="110"/>
      <c r="E24" s="157" t="s">
        <v>31</v>
      </c>
      <c r="F24" s="157" t="s">
        <v>15</v>
      </c>
      <c r="G24" s="219" t="s">
        <v>23</v>
      </c>
      <c r="H24" s="219"/>
      <c r="I24" s="157" t="s">
        <v>16</v>
      </c>
      <c r="J24" s="157" t="s">
        <v>36</v>
      </c>
      <c r="K24" s="157" t="s">
        <v>35</v>
      </c>
      <c r="L24" s="112"/>
      <c r="M24" s="148"/>
      <c r="N24" s="162"/>
      <c r="O24" s="163">
        <v>4500001</v>
      </c>
      <c r="P24" s="163">
        <v>5000000</v>
      </c>
      <c r="Q24" s="164">
        <v>1.92</v>
      </c>
      <c r="R24" s="160"/>
      <c r="S24" s="161"/>
      <c r="T24" s="161"/>
      <c r="U24" s="161"/>
      <c r="V24" s="161"/>
    </row>
    <row r="25" spans="4:75" ht="18" hidden="1" x14ac:dyDescent="0.25">
      <c r="D25" s="110"/>
      <c r="E25" s="90">
        <f>VLOOKUP(G301,PRODUCTOS_1,6,0)</f>
        <v>1000</v>
      </c>
      <c r="F25" s="90">
        <f>F26*G16</f>
        <v>0</v>
      </c>
      <c r="G25" s="220">
        <f>+E22/1000*G26</f>
        <v>2750</v>
      </c>
      <c r="H25" s="220"/>
      <c r="I25" s="207">
        <f>SUM(E25:G25)</f>
        <v>3750</v>
      </c>
      <c r="J25" s="90">
        <f>VLOOKUP(G301,PRODUCTOS_1,7,0)*E22</f>
        <v>90000</v>
      </c>
      <c r="K25" s="207">
        <f>+F22+I25+J25</f>
        <v>93750</v>
      </c>
      <c r="L25" s="112"/>
      <c r="M25" s="148"/>
      <c r="N25" s="162"/>
      <c r="O25" s="163">
        <v>5000001</v>
      </c>
      <c r="P25" s="163">
        <v>5500000</v>
      </c>
      <c r="Q25" s="164">
        <v>1.79</v>
      </c>
      <c r="R25" s="160"/>
      <c r="S25" s="161"/>
      <c r="T25" s="161"/>
      <c r="U25" s="161"/>
      <c r="V25" s="161"/>
    </row>
    <row r="26" spans="4:75" ht="18" hidden="1" x14ac:dyDescent="0.25">
      <c r="D26" s="110"/>
      <c r="E26" s="209"/>
      <c r="F26" s="87">
        <f>VLOOKUP(G301,PRODUCTOS_1,4,0)</f>
        <v>2.5000000000000001E-2</v>
      </c>
      <c r="G26" s="88">
        <f>+IF(E22&lt;=P16,Q16,IF(E22&lt;=P17,Q17,IF(E22&lt;=P18,Q18,IF(E22&lt;=P19,Q19,IF(E22&lt;=P20,Q20,IF(E22&lt;=P21,Q21,IF(E22&lt;=P22,Q22,IF(E22&lt;=P23,Q23,IF(E22&lt;=P24,Q24,IF(E22&lt;=P25,Q25,IF(E22&lt;=P26,Q26,IF(E22&lt;=P27,Q27,IF(E22&lt;=P29,Q29,IF(E22&lt;=P30,Q30,IF(E22&lt;=P31,Q31,IF(E22&lt;=P32,Q32,Q33))))))))))))))))</f>
        <v>2.75</v>
      </c>
      <c r="H26" s="89" t="s">
        <v>24</v>
      </c>
      <c r="I26" s="90"/>
      <c r="J26" s="201"/>
      <c r="K26" s="201"/>
      <c r="L26" s="112"/>
      <c r="M26" s="148"/>
      <c r="N26" s="162"/>
      <c r="O26" s="163">
        <v>5500001</v>
      </c>
      <c r="P26" s="163">
        <v>6000000</v>
      </c>
      <c r="Q26" s="164">
        <v>1.74</v>
      </c>
      <c r="R26" s="160"/>
      <c r="S26" s="161"/>
      <c r="T26" s="161"/>
      <c r="U26" s="161"/>
      <c r="V26" s="161"/>
    </row>
    <row r="27" spans="4:75" ht="30" hidden="1" x14ac:dyDescent="0.25">
      <c r="D27" s="110"/>
      <c r="E27" s="157" t="s">
        <v>104</v>
      </c>
      <c r="F27" s="90" t="str">
        <f>IF(G301="LIQUIDEZ HIPOTECARIA",F25*0.16,"0")</f>
        <v>0</v>
      </c>
      <c r="G27" s="210"/>
      <c r="H27" s="211"/>
      <c r="I27" s="212"/>
      <c r="J27" s="206"/>
      <c r="K27" s="206"/>
      <c r="L27" s="112"/>
      <c r="M27" s="148"/>
      <c r="N27" s="160"/>
      <c r="O27" s="163">
        <v>6000001</v>
      </c>
      <c r="P27" s="163">
        <v>6500000</v>
      </c>
      <c r="Q27" s="164">
        <v>1.71</v>
      </c>
      <c r="R27" s="160"/>
      <c r="S27" s="161"/>
      <c r="T27" s="161"/>
      <c r="U27" s="161"/>
      <c r="V27" s="161"/>
    </row>
    <row r="28" spans="4:75" hidden="1" x14ac:dyDescent="0.25">
      <c r="D28" s="110"/>
      <c r="E28" s="94"/>
      <c r="F28" s="95"/>
      <c r="G28" s="91"/>
      <c r="H28" s="92"/>
      <c r="I28" s="93"/>
      <c r="J28" s="84"/>
      <c r="K28" s="84"/>
      <c r="L28" s="112"/>
      <c r="M28" s="148"/>
      <c r="N28" s="160"/>
      <c r="O28" s="163"/>
      <c r="P28" s="163"/>
      <c r="Q28" s="164"/>
      <c r="R28" s="160"/>
      <c r="S28" s="161"/>
      <c r="T28" s="161"/>
      <c r="U28" s="161"/>
      <c r="V28" s="161"/>
    </row>
    <row r="29" spans="4:75" hidden="1" x14ac:dyDescent="0.25">
      <c r="D29" s="110"/>
      <c r="E29" s="223" t="s">
        <v>27</v>
      </c>
      <c r="F29" s="223"/>
      <c r="G29" s="223"/>
      <c r="H29" s="223"/>
      <c r="I29" s="223"/>
      <c r="J29" s="223"/>
      <c r="K29" s="223"/>
      <c r="L29" s="112"/>
      <c r="M29" s="148"/>
      <c r="N29" s="160"/>
      <c r="O29" s="163">
        <v>6500001</v>
      </c>
      <c r="P29" s="163">
        <v>7500000</v>
      </c>
      <c r="Q29" s="164">
        <v>1.7</v>
      </c>
      <c r="R29" s="160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4:75" s="77" customFormat="1" hidden="1" x14ac:dyDescent="0.25">
      <c r="D30" s="116"/>
      <c r="E30" s="225" t="s">
        <v>20</v>
      </c>
      <c r="F30" s="225"/>
      <c r="G30" s="225"/>
      <c r="H30" s="225"/>
      <c r="I30" s="225"/>
      <c r="J30" s="225"/>
      <c r="K30" s="225"/>
      <c r="L30" s="117"/>
      <c r="M30" s="152"/>
      <c r="N30" s="160"/>
      <c r="O30" s="163">
        <v>7500001</v>
      </c>
      <c r="P30" s="163">
        <v>8000000</v>
      </c>
      <c r="Q30" s="164">
        <v>1.64</v>
      </c>
      <c r="R30" s="160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</row>
    <row r="31" spans="4:75" s="77" customFormat="1" hidden="1" x14ac:dyDescent="0.25">
      <c r="D31" s="116"/>
      <c r="E31" s="225" t="s">
        <v>21</v>
      </c>
      <c r="F31" s="225"/>
      <c r="G31" s="225"/>
      <c r="H31" s="225"/>
      <c r="I31" s="225"/>
      <c r="J31" s="225"/>
      <c r="K31" s="225"/>
      <c r="L31" s="117"/>
      <c r="M31" s="152"/>
      <c r="N31" s="160"/>
      <c r="O31" s="163">
        <v>8000001</v>
      </c>
      <c r="P31" s="163">
        <v>8500000</v>
      </c>
      <c r="Q31" s="164">
        <v>1.56</v>
      </c>
      <c r="R31" s="160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</row>
    <row r="32" spans="4:75" hidden="1" x14ac:dyDescent="0.25">
      <c r="D32" s="110"/>
      <c r="E32" s="226" t="s">
        <v>32</v>
      </c>
      <c r="F32" s="226"/>
      <c r="G32" s="226"/>
      <c r="H32" s="226"/>
      <c r="I32" s="226"/>
      <c r="J32" s="226"/>
      <c r="K32" s="226"/>
      <c r="L32" s="112"/>
      <c r="M32" s="148"/>
      <c r="N32" s="160"/>
      <c r="O32" s="163">
        <v>8500001</v>
      </c>
      <c r="P32" s="163">
        <v>9000000</v>
      </c>
      <c r="Q32" s="164">
        <v>1.51</v>
      </c>
      <c r="R32" s="160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4:31" hidden="1" x14ac:dyDescent="0.25">
      <c r="D33" s="110"/>
      <c r="E33" s="96"/>
      <c r="F33" s="97"/>
      <c r="G33" s="98"/>
      <c r="H33" s="98"/>
      <c r="I33" s="99" t="s">
        <v>19</v>
      </c>
      <c r="J33" s="96">
        <f>IF(G309="NO",0.56,IF(G309="",0.56,0))</f>
        <v>0.56000000000000005</v>
      </c>
      <c r="K33" s="96">
        <f>IF(J309="NO",0.29,IF(J309="",0.29,0))</f>
        <v>0.28999999999999998</v>
      </c>
      <c r="L33" s="112"/>
      <c r="M33" s="148"/>
      <c r="N33" s="160"/>
      <c r="O33" s="163">
        <v>9000001</v>
      </c>
      <c r="P33" s="163">
        <v>10000000</v>
      </c>
      <c r="Q33" s="164">
        <v>1.48</v>
      </c>
      <c r="R33" s="160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4:31" ht="72" hidden="1" x14ac:dyDescent="0.25">
      <c r="D34" s="110"/>
      <c r="E34" s="51" t="s">
        <v>17</v>
      </c>
      <c r="F34" s="51" t="s">
        <v>5</v>
      </c>
      <c r="G34" s="51" t="s">
        <v>6</v>
      </c>
      <c r="H34" s="51" t="s">
        <v>7</v>
      </c>
      <c r="I34" s="51" t="s">
        <v>8</v>
      </c>
      <c r="J34" s="51" t="s">
        <v>10</v>
      </c>
      <c r="K34" s="51" t="s">
        <v>1</v>
      </c>
      <c r="L34" s="118" t="s">
        <v>9</v>
      </c>
      <c r="M34" s="153"/>
      <c r="N34" s="160"/>
      <c r="O34" s="160"/>
      <c r="P34" s="169"/>
      <c r="Q34" s="169"/>
      <c r="R34" s="16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1"/>
    </row>
    <row r="35" spans="4:31" hidden="1" x14ac:dyDescent="0.25">
      <c r="D35" s="110"/>
      <c r="E35" s="52"/>
      <c r="F35" s="53"/>
      <c r="G35" s="52"/>
      <c r="H35" s="54">
        <f>+PMT(G19/12,G18*12,-G22)</f>
        <v>0</v>
      </c>
      <c r="I35" s="52"/>
      <c r="J35" s="53"/>
      <c r="K35" s="53"/>
      <c r="L35" s="119">
        <f>-G16+F25+G25+E25</f>
        <v>3750</v>
      </c>
      <c r="M35" s="141"/>
      <c r="N35" s="160"/>
      <c r="O35" s="160"/>
      <c r="P35" s="169"/>
      <c r="Q35" s="169"/>
      <c r="R35" s="160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1"/>
    </row>
    <row r="36" spans="4:31" hidden="1" x14ac:dyDescent="0.25">
      <c r="D36" s="110"/>
      <c r="E36" s="55">
        <v>1</v>
      </c>
      <c r="F36" s="56">
        <f>+G22</f>
        <v>0</v>
      </c>
      <c r="G36" s="57">
        <f t="shared" ref="G36:G99" si="0">+F36*$G$19/12</f>
        <v>0</v>
      </c>
      <c r="H36" s="58">
        <f t="shared" ref="H36:H99" si="1">+IF(E36&lt;=($G$18*12),$H$35-G36,0)</f>
        <v>0</v>
      </c>
      <c r="I36" s="57">
        <f t="shared" ref="I36:I99" si="2">+H36+G36</f>
        <v>0</v>
      </c>
      <c r="J36" s="59">
        <f t="shared" ref="J36:J99" si="3">+F36/1000*$J$33</f>
        <v>0</v>
      </c>
      <c r="K36" s="59">
        <f>+IF(E36&lt;=($G$18*12),($E$22*0.6)/1000*$K$33,0)</f>
        <v>174</v>
      </c>
      <c r="L36" s="120">
        <f>+I36+J36+K36</f>
        <v>174</v>
      </c>
      <c r="M36" s="154"/>
      <c r="N36" s="160"/>
      <c r="O36" s="173"/>
      <c r="P36" s="173"/>
      <c r="Q36" s="173"/>
      <c r="R36" s="160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1"/>
    </row>
    <row r="37" spans="4:31" hidden="1" x14ac:dyDescent="0.25">
      <c r="D37" s="110"/>
      <c r="E37" s="55">
        <f>+E36+1</f>
        <v>2</v>
      </c>
      <c r="F37" s="56">
        <f t="shared" ref="F37:F100" si="4">IF(F36-H36&gt;0.01,F36-H36,0)</f>
        <v>0</v>
      </c>
      <c r="G37" s="57">
        <f t="shared" si="0"/>
        <v>0</v>
      </c>
      <c r="H37" s="58">
        <f t="shared" si="1"/>
        <v>0</v>
      </c>
      <c r="I37" s="57">
        <f t="shared" si="2"/>
        <v>0</v>
      </c>
      <c r="J37" s="59">
        <f t="shared" si="3"/>
        <v>0</v>
      </c>
      <c r="K37" s="59">
        <f>+IF(E37&lt;=($G$18*12),($E$22*0.6)/1000*$K$33,0)</f>
        <v>174</v>
      </c>
      <c r="L37" s="120">
        <f>+I37+J37+K37</f>
        <v>174</v>
      </c>
      <c r="M37" s="154"/>
      <c r="N37" s="160"/>
      <c r="O37" s="160"/>
      <c r="P37" s="160"/>
      <c r="Q37" s="160"/>
      <c r="R37" s="160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1"/>
    </row>
    <row r="38" spans="4:31" hidden="1" x14ac:dyDescent="0.25">
      <c r="D38" s="110"/>
      <c r="E38" s="55">
        <f t="shared" ref="E38:E101" si="5">+E37+1</f>
        <v>3</v>
      </c>
      <c r="F38" s="56">
        <f t="shared" si="4"/>
        <v>0</v>
      </c>
      <c r="G38" s="57">
        <f t="shared" si="0"/>
        <v>0</v>
      </c>
      <c r="H38" s="58">
        <f t="shared" si="1"/>
        <v>0</v>
      </c>
      <c r="I38" s="57">
        <f t="shared" si="2"/>
        <v>0</v>
      </c>
      <c r="J38" s="59">
        <f t="shared" si="3"/>
        <v>0</v>
      </c>
      <c r="K38" s="59">
        <f t="shared" ref="K38:K101" si="6">+IF(E38&lt;=($G$18*12),($E$22*0.6)/1000*$K$33,0)</f>
        <v>174</v>
      </c>
      <c r="L38" s="120">
        <f t="shared" ref="L38:L101" si="7">+I38+J38+K38</f>
        <v>174</v>
      </c>
      <c r="M38" s="154"/>
      <c r="N38" s="160"/>
      <c r="O38" s="160"/>
      <c r="P38" s="160"/>
      <c r="Q38" s="160"/>
      <c r="R38" s="160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1"/>
    </row>
    <row r="39" spans="4:31" hidden="1" x14ac:dyDescent="0.25">
      <c r="D39" s="110"/>
      <c r="E39" s="55">
        <f t="shared" si="5"/>
        <v>4</v>
      </c>
      <c r="F39" s="56">
        <f t="shared" si="4"/>
        <v>0</v>
      </c>
      <c r="G39" s="57">
        <f t="shared" si="0"/>
        <v>0</v>
      </c>
      <c r="H39" s="58">
        <f t="shared" si="1"/>
        <v>0</v>
      </c>
      <c r="I39" s="57">
        <f t="shared" si="2"/>
        <v>0</v>
      </c>
      <c r="J39" s="59">
        <f t="shared" si="3"/>
        <v>0</v>
      </c>
      <c r="K39" s="59">
        <f t="shared" si="6"/>
        <v>174</v>
      </c>
      <c r="L39" s="120">
        <f t="shared" si="7"/>
        <v>174</v>
      </c>
      <c r="M39" s="154"/>
      <c r="N39" s="160"/>
      <c r="O39" s="175"/>
      <c r="P39" s="176"/>
      <c r="Q39" s="176"/>
      <c r="R39" s="160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1"/>
    </row>
    <row r="40" spans="4:31" hidden="1" x14ac:dyDescent="0.25">
      <c r="D40" s="110"/>
      <c r="E40" s="55">
        <f t="shared" si="5"/>
        <v>5</v>
      </c>
      <c r="F40" s="56">
        <f t="shared" si="4"/>
        <v>0</v>
      </c>
      <c r="G40" s="57">
        <f t="shared" si="0"/>
        <v>0</v>
      </c>
      <c r="H40" s="58">
        <f t="shared" si="1"/>
        <v>0</v>
      </c>
      <c r="I40" s="57">
        <f t="shared" si="2"/>
        <v>0</v>
      </c>
      <c r="J40" s="59">
        <f t="shared" si="3"/>
        <v>0</v>
      </c>
      <c r="K40" s="59">
        <f t="shared" si="6"/>
        <v>174</v>
      </c>
      <c r="L40" s="120">
        <f t="shared" si="7"/>
        <v>174</v>
      </c>
      <c r="M40" s="154"/>
      <c r="N40" s="160"/>
      <c r="O40" s="160"/>
      <c r="P40" s="169"/>
      <c r="Q40" s="169"/>
      <c r="R40" s="160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1"/>
    </row>
    <row r="41" spans="4:31" hidden="1" x14ac:dyDescent="0.25">
      <c r="D41" s="110"/>
      <c r="E41" s="55">
        <f t="shared" si="5"/>
        <v>6</v>
      </c>
      <c r="F41" s="56">
        <f t="shared" si="4"/>
        <v>0</v>
      </c>
      <c r="G41" s="57">
        <f t="shared" si="0"/>
        <v>0</v>
      </c>
      <c r="H41" s="58">
        <f t="shared" si="1"/>
        <v>0</v>
      </c>
      <c r="I41" s="57">
        <f t="shared" si="2"/>
        <v>0</v>
      </c>
      <c r="J41" s="59">
        <f t="shared" si="3"/>
        <v>0</v>
      </c>
      <c r="K41" s="59">
        <f t="shared" si="6"/>
        <v>174</v>
      </c>
      <c r="L41" s="120">
        <f t="shared" si="7"/>
        <v>174</v>
      </c>
      <c r="M41" s="154"/>
      <c r="N41" s="160"/>
      <c r="O41" s="160"/>
      <c r="P41" s="169"/>
      <c r="Q41" s="169"/>
      <c r="R41" s="160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1"/>
    </row>
    <row r="42" spans="4:31" hidden="1" x14ac:dyDescent="0.25">
      <c r="D42" s="110"/>
      <c r="E42" s="55">
        <f t="shared" si="5"/>
        <v>7</v>
      </c>
      <c r="F42" s="56">
        <f t="shared" si="4"/>
        <v>0</v>
      </c>
      <c r="G42" s="57">
        <f t="shared" si="0"/>
        <v>0</v>
      </c>
      <c r="H42" s="58">
        <f t="shared" si="1"/>
        <v>0</v>
      </c>
      <c r="I42" s="57">
        <f t="shared" si="2"/>
        <v>0</v>
      </c>
      <c r="J42" s="59">
        <f t="shared" si="3"/>
        <v>0</v>
      </c>
      <c r="K42" s="59">
        <f t="shared" si="6"/>
        <v>174</v>
      </c>
      <c r="L42" s="120">
        <f t="shared" si="7"/>
        <v>174</v>
      </c>
      <c r="M42" s="154"/>
      <c r="N42" s="160"/>
      <c r="O42" s="160"/>
      <c r="P42" s="169"/>
      <c r="Q42" s="169"/>
      <c r="R42" s="160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1"/>
    </row>
    <row r="43" spans="4:31" hidden="1" x14ac:dyDescent="0.25">
      <c r="D43" s="110"/>
      <c r="E43" s="55">
        <f t="shared" si="5"/>
        <v>8</v>
      </c>
      <c r="F43" s="56">
        <f t="shared" si="4"/>
        <v>0</v>
      </c>
      <c r="G43" s="57">
        <f t="shared" si="0"/>
        <v>0</v>
      </c>
      <c r="H43" s="58">
        <f t="shared" si="1"/>
        <v>0</v>
      </c>
      <c r="I43" s="57">
        <f t="shared" si="2"/>
        <v>0</v>
      </c>
      <c r="J43" s="59">
        <f t="shared" si="3"/>
        <v>0</v>
      </c>
      <c r="K43" s="59">
        <f t="shared" si="6"/>
        <v>174</v>
      </c>
      <c r="L43" s="120">
        <f t="shared" si="7"/>
        <v>174</v>
      </c>
      <c r="M43" s="154"/>
      <c r="N43" s="160"/>
      <c r="O43" s="160"/>
      <c r="P43" s="169"/>
      <c r="Q43" s="169"/>
      <c r="R43" s="160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1"/>
    </row>
    <row r="44" spans="4:31" hidden="1" x14ac:dyDescent="0.25">
      <c r="D44" s="110"/>
      <c r="E44" s="55">
        <f t="shared" si="5"/>
        <v>9</v>
      </c>
      <c r="F44" s="56">
        <f t="shared" si="4"/>
        <v>0</v>
      </c>
      <c r="G44" s="57">
        <f t="shared" si="0"/>
        <v>0</v>
      </c>
      <c r="H44" s="58">
        <f t="shared" si="1"/>
        <v>0</v>
      </c>
      <c r="I44" s="57">
        <f t="shared" si="2"/>
        <v>0</v>
      </c>
      <c r="J44" s="59">
        <f t="shared" si="3"/>
        <v>0</v>
      </c>
      <c r="K44" s="59">
        <f t="shared" si="6"/>
        <v>174</v>
      </c>
      <c r="L44" s="120">
        <f t="shared" si="7"/>
        <v>174</v>
      </c>
      <c r="M44" s="154"/>
      <c r="N44" s="160"/>
      <c r="O44" s="160"/>
      <c r="P44" s="169"/>
      <c r="Q44" s="169"/>
      <c r="R44" s="160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1"/>
    </row>
    <row r="45" spans="4:31" hidden="1" x14ac:dyDescent="0.25">
      <c r="D45" s="110"/>
      <c r="E45" s="55">
        <f t="shared" si="5"/>
        <v>10</v>
      </c>
      <c r="F45" s="56">
        <f t="shared" si="4"/>
        <v>0</v>
      </c>
      <c r="G45" s="57">
        <f t="shared" si="0"/>
        <v>0</v>
      </c>
      <c r="H45" s="58">
        <f t="shared" si="1"/>
        <v>0</v>
      </c>
      <c r="I45" s="57">
        <f t="shared" si="2"/>
        <v>0</v>
      </c>
      <c r="J45" s="59">
        <f t="shared" si="3"/>
        <v>0</v>
      </c>
      <c r="K45" s="59">
        <f t="shared" si="6"/>
        <v>174</v>
      </c>
      <c r="L45" s="120">
        <f t="shared" si="7"/>
        <v>174</v>
      </c>
      <c r="M45" s="154"/>
      <c r="N45" s="160"/>
      <c r="O45" s="160"/>
      <c r="P45" s="169"/>
      <c r="Q45" s="169"/>
      <c r="R45" s="160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1"/>
    </row>
    <row r="46" spans="4:31" hidden="1" x14ac:dyDescent="0.25">
      <c r="D46" s="110"/>
      <c r="E46" s="55">
        <f t="shared" si="5"/>
        <v>11</v>
      </c>
      <c r="F46" s="56">
        <f t="shared" si="4"/>
        <v>0</v>
      </c>
      <c r="G46" s="57">
        <f t="shared" si="0"/>
        <v>0</v>
      </c>
      <c r="H46" s="58">
        <f t="shared" si="1"/>
        <v>0</v>
      </c>
      <c r="I46" s="57">
        <f t="shared" si="2"/>
        <v>0</v>
      </c>
      <c r="J46" s="59">
        <f t="shared" si="3"/>
        <v>0</v>
      </c>
      <c r="K46" s="59">
        <f t="shared" si="6"/>
        <v>174</v>
      </c>
      <c r="L46" s="120">
        <f t="shared" si="7"/>
        <v>174</v>
      </c>
      <c r="M46" s="154"/>
      <c r="N46" s="160"/>
      <c r="O46" s="160"/>
      <c r="P46" s="169"/>
      <c r="Q46" s="169"/>
      <c r="R46" s="160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1"/>
    </row>
    <row r="47" spans="4:31" hidden="1" x14ac:dyDescent="0.25">
      <c r="D47" s="110"/>
      <c r="E47" s="55">
        <f t="shared" si="5"/>
        <v>12</v>
      </c>
      <c r="F47" s="56">
        <f t="shared" si="4"/>
        <v>0</v>
      </c>
      <c r="G47" s="57">
        <f t="shared" si="0"/>
        <v>0</v>
      </c>
      <c r="H47" s="58">
        <f t="shared" si="1"/>
        <v>0</v>
      </c>
      <c r="I47" s="57">
        <f t="shared" si="2"/>
        <v>0</v>
      </c>
      <c r="J47" s="59">
        <f t="shared" si="3"/>
        <v>0</v>
      </c>
      <c r="K47" s="59">
        <f t="shared" si="6"/>
        <v>174</v>
      </c>
      <c r="L47" s="120">
        <f t="shared" si="7"/>
        <v>174</v>
      </c>
      <c r="M47" s="154"/>
      <c r="N47" s="160"/>
      <c r="O47" s="160"/>
      <c r="P47" s="169"/>
      <c r="Q47" s="169"/>
      <c r="R47" s="160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1"/>
    </row>
    <row r="48" spans="4:31" hidden="1" x14ac:dyDescent="0.25">
      <c r="D48" s="110"/>
      <c r="E48" s="55">
        <f t="shared" si="5"/>
        <v>13</v>
      </c>
      <c r="F48" s="56">
        <f t="shared" si="4"/>
        <v>0</v>
      </c>
      <c r="G48" s="57">
        <f t="shared" si="0"/>
        <v>0</v>
      </c>
      <c r="H48" s="58">
        <f t="shared" si="1"/>
        <v>0</v>
      </c>
      <c r="I48" s="57">
        <f t="shared" si="2"/>
        <v>0</v>
      </c>
      <c r="J48" s="59">
        <f t="shared" si="3"/>
        <v>0</v>
      </c>
      <c r="K48" s="59">
        <f t="shared" si="6"/>
        <v>174</v>
      </c>
      <c r="L48" s="120">
        <f t="shared" si="7"/>
        <v>174</v>
      </c>
      <c r="M48" s="154"/>
      <c r="N48" s="160"/>
      <c r="O48" s="160"/>
      <c r="P48" s="169"/>
      <c r="Q48" s="169"/>
      <c r="R48" s="160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1"/>
    </row>
    <row r="49" spans="4:31" hidden="1" x14ac:dyDescent="0.25">
      <c r="D49" s="110"/>
      <c r="E49" s="55">
        <f t="shared" si="5"/>
        <v>14</v>
      </c>
      <c r="F49" s="56">
        <f t="shared" si="4"/>
        <v>0</v>
      </c>
      <c r="G49" s="57">
        <f t="shared" si="0"/>
        <v>0</v>
      </c>
      <c r="H49" s="58">
        <f t="shared" si="1"/>
        <v>0</v>
      </c>
      <c r="I49" s="57">
        <f t="shared" si="2"/>
        <v>0</v>
      </c>
      <c r="J49" s="59">
        <f t="shared" si="3"/>
        <v>0</v>
      </c>
      <c r="K49" s="59">
        <f t="shared" si="6"/>
        <v>174</v>
      </c>
      <c r="L49" s="120">
        <f t="shared" si="7"/>
        <v>174</v>
      </c>
      <c r="M49" s="154"/>
      <c r="N49" s="160"/>
      <c r="O49" s="160"/>
      <c r="P49" s="169"/>
      <c r="Q49" s="169"/>
      <c r="R49" s="160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1"/>
    </row>
    <row r="50" spans="4:31" hidden="1" x14ac:dyDescent="0.25">
      <c r="D50" s="110"/>
      <c r="E50" s="55">
        <f t="shared" si="5"/>
        <v>15</v>
      </c>
      <c r="F50" s="56">
        <f t="shared" si="4"/>
        <v>0</v>
      </c>
      <c r="G50" s="57">
        <f t="shared" si="0"/>
        <v>0</v>
      </c>
      <c r="H50" s="58">
        <f t="shared" si="1"/>
        <v>0</v>
      </c>
      <c r="I50" s="57">
        <f t="shared" si="2"/>
        <v>0</v>
      </c>
      <c r="J50" s="59">
        <f t="shared" si="3"/>
        <v>0</v>
      </c>
      <c r="K50" s="59">
        <f t="shared" si="6"/>
        <v>174</v>
      </c>
      <c r="L50" s="120">
        <f t="shared" si="7"/>
        <v>174</v>
      </c>
      <c r="M50" s="154"/>
      <c r="N50" s="160"/>
      <c r="O50" s="160"/>
      <c r="P50" s="169"/>
      <c r="Q50" s="169"/>
      <c r="R50" s="160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1"/>
    </row>
    <row r="51" spans="4:31" hidden="1" x14ac:dyDescent="0.25">
      <c r="D51" s="110"/>
      <c r="E51" s="55">
        <f t="shared" si="5"/>
        <v>16</v>
      </c>
      <c r="F51" s="56">
        <f t="shared" si="4"/>
        <v>0</v>
      </c>
      <c r="G51" s="57">
        <f t="shared" si="0"/>
        <v>0</v>
      </c>
      <c r="H51" s="58">
        <f t="shared" si="1"/>
        <v>0</v>
      </c>
      <c r="I51" s="57">
        <f t="shared" si="2"/>
        <v>0</v>
      </c>
      <c r="J51" s="59">
        <f t="shared" si="3"/>
        <v>0</v>
      </c>
      <c r="K51" s="59">
        <f t="shared" si="6"/>
        <v>174</v>
      </c>
      <c r="L51" s="120">
        <f t="shared" si="7"/>
        <v>174</v>
      </c>
      <c r="M51" s="154"/>
      <c r="N51" s="160"/>
      <c r="O51" s="160"/>
      <c r="P51" s="169"/>
      <c r="Q51" s="169"/>
      <c r="R51" s="160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1"/>
    </row>
    <row r="52" spans="4:31" hidden="1" x14ac:dyDescent="0.25">
      <c r="D52" s="110"/>
      <c r="E52" s="55">
        <f t="shared" si="5"/>
        <v>17</v>
      </c>
      <c r="F52" s="56">
        <f t="shared" si="4"/>
        <v>0</v>
      </c>
      <c r="G52" s="57">
        <f t="shared" si="0"/>
        <v>0</v>
      </c>
      <c r="H52" s="58">
        <f t="shared" si="1"/>
        <v>0</v>
      </c>
      <c r="I52" s="57">
        <f t="shared" si="2"/>
        <v>0</v>
      </c>
      <c r="J52" s="59">
        <f t="shared" si="3"/>
        <v>0</v>
      </c>
      <c r="K52" s="59">
        <f t="shared" si="6"/>
        <v>174</v>
      </c>
      <c r="L52" s="120">
        <f t="shared" si="7"/>
        <v>174</v>
      </c>
      <c r="M52" s="154"/>
      <c r="N52" s="160"/>
      <c r="O52" s="160"/>
      <c r="P52" s="169"/>
      <c r="Q52" s="169"/>
      <c r="R52" s="160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1"/>
    </row>
    <row r="53" spans="4:31" hidden="1" x14ac:dyDescent="0.25">
      <c r="D53" s="110"/>
      <c r="E53" s="55">
        <f t="shared" si="5"/>
        <v>18</v>
      </c>
      <c r="F53" s="56">
        <f t="shared" si="4"/>
        <v>0</v>
      </c>
      <c r="G53" s="57">
        <f t="shared" si="0"/>
        <v>0</v>
      </c>
      <c r="H53" s="58">
        <f t="shared" si="1"/>
        <v>0</v>
      </c>
      <c r="I53" s="57">
        <f t="shared" si="2"/>
        <v>0</v>
      </c>
      <c r="J53" s="59">
        <f t="shared" si="3"/>
        <v>0</v>
      </c>
      <c r="K53" s="59">
        <f t="shared" si="6"/>
        <v>174</v>
      </c>
      <c r="L53" s="120">
        <f t="shared" si="7"/>
        <v>174</v>
      </c>
      <c r="M53" s="154"/>
      <c r="N53" s="160"/>
      <c r="O53" s="169"/>
      <c r="P53" s="169"/>
      <c r="Q53" s="169"/>
      <c r="R53" s="160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1"/>
    </row>
    <row r="54" spans="4:31" hidden="1" x14ac:dyDescent="0.25">
      <c r="D54" s="110"/>
      <c r="E54" s="55">
        <f t="shared" si="5"/>
        <v>19</v>
      </c>
      <c r="F54" s="56">
        <f t="shared" si="4"/>
        <v>0</v>
      </c>
      <c r="G54" s="57">
        <f t="shared" si="0"/>
        <v>0</v>
      </c>
      <c r="H54" s="58">
        <f t="shared" si="1"/>
        <v>0</v>
      </c>
      <c r="I54" s="57">
        <f t="shared" si="2"/>
        <v>0</v>
      </c>
      <c r="J54" s="59">
        <f t="shared" si="3"/>
        <v>0</v>
      </c>
      <c r="K54" s="59">
        <f t="shared" si="6"/>
        <v>174</v>
      </c>
      <c r="L54" s="120">
        <f t="shared" si="7"/>
        <v>174</v>
      </c>
      <c r="M54" s="154"/>
      <c r="N54" s="160"/>
      <c r="O54" s="169"/>
      <c r="P54" s="169"/>
      <c r="Q54" s="169"/>
      <c r="R54" s="160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1"/>
    </row>
    <row r="55" spans="4:31" hidden="1" x14ac:dyDescent="0.25">
      <c r="D55" s="110"/>
      <c r="E55" s="55">
        <f t="shared" si="5"/>
        <v>20</v>
      </c>
      <c r="F55" s="56">
        <f t="shared" si="4"/>
        <v>0</v>
      </c>
      <c r="G55" s="57">
        <f t="shared" si="0"/>
        <v>0</v>
      </c>
      <c r="H55" s="58">
        <f t="shared" si="1"/>
        <v>0</v>
      </c>
      <c r="I55" s="57">
        <f t="shared" si="2"/>
        <v>0</v>
      </c>
      <c r="J55" s="59">
        <f t="shared" si="3"/>
        <v>0</v>
      </c>
      <c r="K55" s="59">
        <f t="shared" si="6"/>
        <v>174</v>
      </c>
      <c r="L55" s="120">
        <f t="shared" si="7"/>
        <v>174</v>
      </c>
      <c r="M55" s="154"/>
      <c r="N55" s="160"/>
      <c r="O55" s="169"/>
      <c r="P55" s="169"/>
      <c r="Q55" s="169"/>
      <c r="R55" s="160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1"/>
    </row>
    <row r="56" spans="4:31" hidden="1" x14ac:dyDescent="0.25">
      <c r="D56" s="110"/>
      <c r="E56" s="55">
        <f t="shared" si="5"/>
        <v>21</v>
      </c>
      <c r="F56" s="56">
        <f t="shared" si="4"/>
        <v>0</v>
      </c>
      <c r="G56" s="57">
        <f t="shared" si="0"/>
        <v>0</v>
      </c>
      <c r="H56" s="58">
        <f t="shared" si="1"/>
        <v>0</v>
      </c>
      <c r="I56" s="57">
        <f t="shared" si="2"/>
        <v>0</v>
      </c>
      <c r="J56" s="59">
        <f t="shared" si="3"/>
        <v>0</v>
      </c>
      <c r="K56" s="59">
        <f t="shared" si="6"/>
        <v>174</v>
      </c>
      <c r="L56" s="120">
        <f t="shared" si="7"/>
        <v>174</v>
      </c>
      <c r="M56" s="154"/>
      <c r="N56" s="160"/>
      <c r="O56" s="169"/>
      <c r="P56" s="169"/>
      <c r="Q56" s="169"/>
      <c r="R56" s="160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1"/>
    </row>
    <row r="57" spans="4:31" hidden="1" x14ac:dyDescent="0.25">
      <c r="D57" s="110"/>
      <c r="E57" s="55">
        <f t="shared" si="5"/>
        <v>22</v>
      </c>
      <c r="F57" s="56">
        <f t="shared" si="4"/>
        <v>0</v>
      </c>
      <c r="G57" s="57">
        <f t="shared" si="0"/>
        <v>0</v>
      </c>
      <c r="H57" s="58">
        <f t="shared" si="1"/>
        <v>0</v>
      </c>
      <c r="I57" s="57">
        <f t="shared" si="2"/>
        <v>0</v>
      </c>
      <c r="J57" s="59">
        <f t="shared" si="3"/>
        <v>0</v>
      </c>
      <c r="K57" s="59">
        <f t="shared" si="6"/>
        <v>174</v>
      </c>
      <c r="L57" s="120">
        <f t="shared" si="7"/>
        <v>174</v>
      </c>
      <c r="M57" s="154"/>
      <c r="N57" s="160"/>
      <c r="O57" s="169"/>
      <c r="P57" s="169"/>
      <c r="Q57" s="169"/>
      <c r="R57" s="160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1"/>
    </row>
    <row r="58" spans="4:31" hidden="1" x14ac:dyDescent="0.25">
      <c r="D58" s="110"/>
      <c r="E58" s="55">
        <f t="shared" si="5"/>
        <v>23</v>
      </c>
      <c r="F58" s="56">
        <f t="shared" si="4"/>
        <v>0</v>
      </c>
      <c r="G58" s="57">
        <f t="shared" si="0"/>
        <v>0</v>
      </c>
      <c r="H58" s="58">
        <f t="shared" si="1"/>
        <v>0</v>
      </c>
      <c r="I58" s="57">
        <f t="shared" si="2"/>
        <v>0</v>
      </c>
      <c r="J58" s="59">
        <f t="shared" si="3"/>
        <v>0</v>
      </c>
      <c r="K58" s="59">
        <f t="shared" si="6"/>
        <v>174</v>
      </c>
      <c r="L58" s="120">
        <f t="shared" si="7"/>
        <v>174</v>
      </c>
      <c r="M58" s="154"/>
      <c r="N58" s="160"/>
      <c r="O58" s="169"/>
      <c r="P58" s="169"/>
      <c r="Q58" s="169"/>
      <c r="R58" s="160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1"/>
    </row>
    <row r="59" spans="4:31" hidden="1" x14ac:dyDescent="0.25">
      <c r="D59" s="110"/>
      <c r="E59" s="55">
        <f t="shared" si="5"/>
        <v>24</v>
      </c>
      <c r="F59" s="56">
        <f t="shared" si="4"/>
        <v>0</v>
      </c>
      <c r="G59" s="57">
        <f t="shared" si="0"/>
        <v>0</v>
      </c>
      <c r="H59" s="58">
        <f t="shared" si="1"/>
        <v>0</v>
      </c>
      <c r="I59" s="57">
        <f t="shared" si="2"/>
        <v>0</v>
      </c>
      <c r="J59" s="59">
        <f t="shared" si="3"/>
        <v>0</v>
      </c>
      <c r="K59" s="59">
        <f t="shared" si="6"/>
        <v>174</v>
      </c>
      <c r="L59" s="120">
        <f t="shared" si="7"/>
        <v>174</v>
      </c>
      <c r="M59" s="154"/>
      <c r="N59" s="160"/>
      <c r="O59" s="169"/>
      <c r="P59" s="169"/>
      <c r="Q59" s="169"/>
      <c r="R59" s="160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1"/>
    </row>
    <row r="60" spans="4:31" hidden="1" x14ac:dyDescent="0.25">
      <c r="D60" s="110"/>
      <c r="E60" s="55">
        <f t="shared" si="5"/>
        <v>25</v>
      </c>
      <c r="F60" s="56">
        <f t="shared" si="4"/>
        <v>0</v>
      </c>
      <c r="G60" s="57">
        <f t="shared" si="0"/>
        <v>0</v>
      </c>
      <c r="H60" s="58">
        <f t="shared" si="1"/>
        <v>0</v>
      </c>
      <c r="I60" s="57">
        <f t="shared" si="2"/>
        <v>0</v>
      </c>
      <c r="J60" s="59">
        <f t="shared" si="3"/>
        <v>0</v>
      </c>
      <c r="K60" s="59">
        <f t="shared" si="6"/>
        <v>174</v>
      </c>
      <c r="L60" s="120">
        <f t="shared" si="7"/>
        <v>174</v>
      </c>
      <c r="M60" s="154"/>
      <c r="N60" s="160"/>
      <c r="O60" s="169"/>
      <c r="P60" s="169"/>
      <c r="Q60" s="169"/>
      <c r="R60" s="160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1"/>
    </row>
    <row r="61" spans="4:31" hidden="1" x14ac:dyDescent="0.25">
      <c r="D61" s="110"/>
      <c r="E61" s="55">
        <f t="shared" si="5"/>
        <v>26</v>
      </c>
      <c r="F61" s="56">
        <f t="shared" si="4"/>
        <v>0</v>
      </c>
      <c r="G61" s="57">
        <f t="shared" si="0"/>
        <v>0</v>
      </c>
      <c r="H61" s="58">
        <f t="shared" si="1"/>
        <v>0</v>
      </c>
      <c r="I61" s="57">
        <f t="shared" si="2"/>
        <v>0</v>
      </c>
      <c r="J61" s="59">
        <f t="shared" si="3"/>
        <v>0</v>
      </c>
      <c r="K61" s="59">
        <f t="shared" si="6"/>
        <v>174</v>
      </c>
      <c r="L61" s="120">
        <f t="shared" si="7"/>
        <v>174</v>
      </c>
      <c r="M61" s="154"/>
      <c r="N61" s="160"/>
      <c r="O61" s="169"/>
      <c r="P61" s="169"/>
      <c r="Q61" s="169"/>
      <c r="R61" s="160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1"/>
    </row>
    <row r="62" spans="4:31" hidden="1" x14ac:dyDescent="0.25">
      <c r="D62" s="110"/>
      <c r="E62" s="55">
        <f t="shared" si="5"/>
        <v>27</v>
      </c>
      <c r="F62" s="56">
        <f t="shared" si="4"/>
        <v>0</v>
      </c>
      <c r="G62" s="57">
        <f t="shared" si="0"/>
        <v>0</v>
      </c>
      <c r="H62" s="58">
        <f t="shared" si="1"/>
        <v>0</v>
      </c>
      <c r="I62" s="57">
        <f t="shared" si="2"/>
        <v>0</v>
      </c>
      <c r="J62" s="59">
        <f t="shared" si="3"/>
        <v>0</v>
      </c>
      <c r="K62" s="59">
        <f t="shared" si="6"/>
        <v>174</v>
      </c>
      <c r="L62" s="120">
        <f t="shared" si="7"/>
        <v>174</v>
      </c>
      <c r="M62" s="154"/>
      <c r="N62" s="160"/>
      <c r="O62" s="169"/>
      <c r="P62" s="169"/>
      <c r="Q62" s="169"/>
      <c r="R62" s="160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1"/>
    </row>
    <row r="63" spans="4:31" hidden="1" x14ac:dyDescent="0.25">
      <c r="D63" s="110"/>
      <c r="E63" s="55">
        <f t="shared" si="5"/>
        <v>28</v>
      </c>
      <c r="F63" s="56">
        <f t="shared" si="4"/>
        <v>0</v>
      </c>
      <c r="G63" s="57">
        <f t="shared" si="0"/>
        <v>0</v>
      </c>
      <c r="H63" s="58">
        <f t="shared" si="1"/>
        <v>0</v>
      </c>
      <c r="I63" s="57">
        <f t="shared" si="2"/>
        <v>0</v>
      </c>
      <c r="J63" s="59">
        <f t="shared" si="3"/>
        <v>0</v>
      </c>
      <c r="K63" s="59">
        <f t="shared" si="6"/>
        <v>174</v>
      </c>
      <c r="L63" s="120">
        <f t="shared" si="7"/>
        <v>174</v>
      </c>
      <c r="M63" s="154"/>
      <c r="N63" s="160"/>
      <c r="O63" s="169"/>
      <c r="P63" s="169"/>
      <c r="Q63" s="169"/>
      <c r="R63" s="160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1"/>
    </row>
    <row r="64" spans="4:31" hidden="1" x14ac:dyDescent="0.25">
      <c r="D64" s="110"/>
      <c r="E64" s="55">
        <f t="shared" si="5"/>
        <v>29</v>
      </c>
      <c r="F64" s="56">
        <f t="shared" si="4"/>
        <v>0</v>
      </c>
      <c r="G64" s="57">
        <f t="shared" si="0"/>
        <v>0</v>
      </c>
      <c r="H64" s="58">
        <f t="shared" si="1"/>
        <v>0</v>
      </c>
      <c r="I64" s="57">
        <f t="shared" si="2"/>
        <v>0</v>
      </c>
      <c r="J64" s="59">
        <f t="shared" si="3"/>
        <v>0</v>
      </c>
      <c r="K64" s="59">
        <f t="shared" si="6"/>
        <v>174</v>
      </c>
      <c r="L64" s="120">
        <f t="shared" si="7"/>
        <v>174</v>
      </c>
      <c r="M64" s="154"/>
      <c r="N64" s="160"/>
      <c r="O64" s="169"/>
      <c r="P64" s="169"/>
      <c r="Q64" s="169"/>
      <c r="R64" s="160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1"/>
    </row>
    <row r="65" spans="4:31" hidden="1" x14ac:dyDescent="0.25">
      <c r="D65" s="110"/>
      <c r="E65" s="60">
        <f t="shared" si="5"/>
        <v>30</v>
      </c>
      <c r="F65" s="56">
        <f t="shared" si="4"/>
        <v>0</v>
      </c>
      <c r="G65" s="57">
        <f t="shared" si="0"/>
        <v>0</v>
      </c>
      <c r="H65" s="58">
        <f t="shared" si="1"/>
        <v>0</v>
      </c>
      <c r="I65" s="57">
        <f t="shared" si="2"/>
        <v>0</v>
      </c>
      <c r="J65" s="59">
        <f t="shared" si="3"/>
        <v>0</v>
      </c>
      <c r="K65" s="59">
        <f t="shared" si="6"/>
        <v>174</v>
      </c>
      <c r="L65" s="120">
        <f t="shared" si="7"/>
        <v>174</v>
      </c>
      <c r="M65" s="154"/>
      <c r="N65" s="160"/>
      <c r="O65" s="169"/>
      <c r="P65" s="169"/>
      <c r="Q65" s="169"/>
      <c r="R65" s="160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1"/>
    </row>
    <row r="66" spans="4:31" hidden="1" x14ac:dyDescent="0.25">
      <c r="D66" s="110"/>
      <c r="E66" s="55">
        <f t="shared" si="5"/>
        <v>31</v>
      </c>
      <c r="F66" s="56">
        <f t="shared" si="4"/>
        <v>0</v>
      </c>
      <c r="G66" s="57">
        <f t="shared" si="0"/>
        <v>0</v>
      </c>
      <c r="H66" s="58">
        <f t="shared" si="1"/>
        <v>0</v>
      </c>
      <c r="I66" s="57">
        <f t="shared" si="2"/>
        <v>0</v>
      </c>
      <c r="J66" s="59">
        <f t="shared" si="3"/>
        <v>0</v>
      </c>
      <c r="K66" s="59">
        <f t="shared" si="6"/>
        <v>174</v>
      </c>
      <c r="L66" s="120">
        <f t="shared" si="7"/>
        <v>174</v>
      </c>
      <c r="M66" s="154"/>
      <c r="N66" s="160"/>
      <c r="O66" s="169"/>
      <c r="P66" s="169"/>
      <c r="Q66" s="169"/>
      <c r="R66" s="160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1"/>
    </row>
    <row r="67" spans="4:31" hidden="1" x14ac:dyDescent="0.25">
      <c r="D67" s="110"/>
      <c r="E67" s="55">
        <f t="shared" si="5"/>
        <v>32</v>
      </c>
      <c r="F67" s="56">
        <f t="shared" si="4"/>
        <v>0</v>
      </c>
      <c r="G67" s="57">
        <f t="shared" si="0"/>
        <v>0</v>
      </c>
      <c r="H67" s="58">
        <f t="shared" si="1"/>
        <v>0</v>
      </c>
      <c r="I67" s="57">
        <f t="shared" si="2"/>
        <v>0</v>
      </c>
      <c r="J67" s="59">
        <f t="shared" si="3"/>
        <v>0</v>
      </c>
      <c r="K67" s="59">
        <f t="shared" si="6"/>
        <v>174</v>
      </c>
      <c r="L67" s="120">
        <f t="shared" si="7"/>
        <v>174</v>
      </c>
      <c r="M67" s="154"/>
      <c r="N67" s="160"/>
      <c r="O67" s="169"/>
      <c r="P67" s="169"/>
      <c r="Q67" s="169"/>
      <c r="R67" s="160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1"/>
    </row>
    <row r="68" spans="4:31" hidden="1" x14ac:dyDescent="0.25">
      <c r="D68" s="110"/>
      <c r="E68" s="55">
        <f t="shared" si="5"/>
        <v>33</v>
      </c>
      <c r="F68" s="56">
        <f t="shared" si="4"/>
        <v>0</v>
      </c>
      <c r="G68" s="57">
        <f t="shared" si="0"/>
        <v>0</v>
      </c>
      <c r="H68" s="58">
        <f t="shared" si="1"/>
        <v>0</v>
      </c>
      <c r="I68" s="57">
        <f t="shared" si="2"/>
        <v>0</v>
      </c>
      <c r="J68" s="59">
        <f t="shared" si="3"/>
        <v>0</v>
      </c>
      <c r="K68" s="59">
        <f t="shared" si="6"/>
        <v>174</v>
      </c>
      <c r="L68" s="120">
        <f t="shared" si="7"/>
        <v>174</v>
      </c>
      <c r="M68" s="154"/>
      <c r="N68" s="160"/>
      <c r="O68" s="169"/>
      <c r="P68" s="169"/>
      <c r="Q68" s="169"/>
      <c r="R68" s="160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1"/>
    </row>
    <row r="69" spans="4:31" hidden="1" x14ac:dyDescent="0.25">
      <c r="D69" s="110"/>
      <c r="E69" s="55">
        <f t="shared" si="5"/>
        <v>34</v>
      </c>
      <c r="F69" s="56">
        <f t="shared" si="4"/>
        <v>0</v>
      </c>
      <c r="G69" s="57">
        <f t="shared" si="0"/>
        <v>0</v>
      </c>
      <c r="H69" s="58">
        <f t="shared" si="1"/>
        <v>0</v>
      </c>
      <c r="I69" s="57">
        <f t="shared" si="2"/>
        <v>0</v>
      </c>
      <c r="J69" s="59">
        <f t="shared" si="3"/>
        <v>0</v>
      </c>
      <c r="K69" s="59">
        <f t="shared" si="6"/>
        <v>174</v>
      </c>
      <c r="L69" s="120">
        <f t="shared" si="7"/>
        <v>174</v>
      </c>
      <c r="M69" s="154"/>
      <c r="N69" s="160"/>
      <c r="O69" s="169"/>
      <c r="P69" s="169"/>
      <c r="Q69" s="169"/>
      <c r="R69" s="160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1"/>
    </row>
    <row r="70" spans="4:31" hidden="1" x14ac:dyDescent="0.25">
      <c r="D70" s="110"/>
      <c r="E70" s="55">
        <f t="shared" si="5"/>
        <v>35</v>
      </c>
      <c r="F70" s="56">
        <f t="shared" si="4"/>
        <v>0</v>
      </c>
      <c r="G70" s="57">
        <f t="shared" si="0"/>
        <v>0</v>
      </c>
      <c r="H70" s="58">
        <f t="shared" si="1"/>
        <v>0</v>
      </c>
      <c r="I70" s="57">
        <f t="shared" si="2"/>
        <v>0</v>
      </c>
      <c r="J70" s="59">
        <f t="shared" si="3"/>
        <v>0</v>
      </c>
      <c r="K70" s="59">
        <f t="shared" si="6"/>
        <v>174</v>
      </c>
      <c r="L70" s="120">
        <f t="shared" si="7"/>
        <v>174</v>
      </c>
      <c r="M70" s="154"/>
      <c r="N70" s="160"/>
      <c r="O70" s="169"/>
      <c r="P70" s="169"/>
      <c r="Q70" s="169"/>
      <c r="R70" s="160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1"/>
    </row>
    <row r="71" spans="4:31" hidden="1" x14ac:dyDescent="0.25">
      <c r="D71" s="110"/>
      <c r="E71" s="55">
        <f t="shared" si="5"/>
        <v>36</v>
      </c>
      <c r="F71" s="56">
        <f t="shared" si="4"/>
        <v>0</v>
      </c>
      <c r="G71" s="57">
        <f t="shared" si="0"/>
        <v>0</v>
      </c>
      <c r="H71" s="58">
        <f t="shared" si="1"/>
        <v>0</v>
      </c>
      <c r="I71" s="57">
        <f t="shared" si="2"/>
        <v>0</v>
      </c>
      <c r="J71" s="59">
        <f t="shared" si="3"/>
        <v>0</v>
      </c>
      <c r="K71" s="59">
        <f t="shared" si="6"/>
        <v>174</v>
      </c>
      <c r="L71" s="120">
        <f t="shared" si="7"/>
        <v>174</v>
      </c>
      <c r="M71" s="154"/>
      <c r="N71" s="160"/>
      <c r="O71" s="169"/>
      <c r="P71" s="169"/>
      <c r="Q71" s="169"/>
      <c r="R71" s="160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1"/>
    </row>
    <row r="72" spans="4:31" hidden="1" x14ac:dyDescent="0.25">
      <c r="D72" s="110"/>
      <c r="E72" s="55">
        <f t="shared" si="5"/>
        <v>37</v>
      </c>
      <c r="F72" s="56">
        <f t="shared" si="4"/>
        <v>0</v>
      </c>
      <c r="G72" s="57">
        <f t="shared" si="0"/>
        <v>0</v>
      </c>
      <c r="H72" s="58">
        <f t="shared" si="1"/>
        <v>0</v>
      </c>
      <c r="I72" s="57">
        <f t="shared" si="2"/>
        <v>0</v>
      </c>
      <c r="J72" s="59">
        <f t="shared" si="3"/>
        <v>0</v>
      </c>
      <c r="K72" s="59">
        <f t="shared" si="6"/>
        <v>174</v>
      </c>
      <c r="L72" s="120">
        <f t="shared" si="7"/>
        <v>174</v>
      </c>
      <c r="M72" s="154"/>
      <c r="N72" s="160"/>
      <c r="O72" s="169"/>
      <c r="P72" s="169"/>
      <c r="Q72" s="169"/>
      <c r="R72" s="160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1"/>
    </row>
    <row r="73" spans="4:31" hidden="1" x14ac:dyDescent="0.25">
      <c r="D73" s="110"/>
      <c r="E73" s="55">
        <f t="shared" si="5"/>
        <v>38</v>
      </c>
      <c r="F73" s="56">
        <f t="shared" si="4"/>
        <v>0</v>
      </c>
      <c r="G73" s="57">
        <f t="shared" si="0"/>
        <v>0</v>
      </c>
      <c r="H73" s="58">
        <f t="shared" si="1"/>
        <v>0</v>
      </c>
      <c r="I73" s="57">
        <f t="shared" si="2"/>
        <v>0</v>
      </c>
      <c r="J73" s="59">
        <f t="shared" si="3"/>
        <v>0</v>
      </c>
      <c r="K73" s="59">
        <f t="shared" si="6"/>
        <v>174</v>
      </c>
      <c r="L73" s="120">
        <f t="shared" si="7"/>
        <v>174</v>
      </c>
      <c r="M73" s="154"/>
      <c r="N73" s="160"/>
      <c r="O73" s="169"/>
      <c r="P73" s="169"/>
      <c r="Q73" s="169"/>
      <c r="R73" s="160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1"/>
    </row>
    <row r="74" spans="4:31" hidden="1" x14ac:dyDescent="0.25">
      <c r="D74" s="110"/>
      <c r="E74" s="55">
        <f t="shared" si="5"/>
        <v>39</v>
      </c>
      <c r="F74" s="56">
        <f t="shared" si="4"/>
        <v>0</v>
      </c>
      <c r="G74" s="57">
        <f t="shared" si="0"/>
        <v>0</v>
      </c>
      <c r="H74" s="58">
        <f t="shared" si="1"/>
        <v>0</v>
      </c>
      <c r="I74" s="57">
        <f t="shared" si="2"/>
        <v>0</v>
      </c>
      <c r="J74" s="59">
        <f t="shared" si="3"/>
        <v>0</v>
      </c>
      <c r="K74" s="59">
        <f t="shared" si="6"/>
        <v>174</v>
      </c>
      <c r="L74" s="120">
        <f t="shared" si="7"/>
        <v>174</v>
      </c>
      <c r="M74" s="154"/>
      <c r="N74" s="160"/>
      <c r="O74" s="169"/>
      <c r="P74" s="169"/>
      <c r="Q74" s="169"/>
      <c r="R74" s="160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1"/>
    </row>
    <row r="75" spans="4:31" hidden="1" x14ac:dyDescent="0.25">
      <c r="D75" s="110"/>
      <c r="E75" s="55">
        <f t="shared" si="5"/>
        <v>40</v>
      </c>
      <c r="F75" s="56">
        <f t="shared" si="4"/>
        <v>0</v>
      </c>
      <c r="G75" s="57">
        <f t="shared" si="0"/>
        <v>0</v>
      </c>
      <c r="H75" s="58">
        <f t="shared" si="1"/>
        <v>0</v>
      </c>
      <c r="I75" s="57">
        <f t="shared" si="2"/>
        <v>0</v>
      </c>
      <c r="J75" s="59">
        <f t="shared" si="3"/>
        <v>0</v>
      </c>
      <c r="K75" s="59">
        <f t="shared" si="6"/>
        <v>174</v>
      </c>
      <c r="L75" s="120">
        <f t="shared" si="7"/>
        <v>174</v>
      </c>
      <c r="M75" s="154"/>
      <c r="N75" s="160"/>
      <c r="O75" s="169"/>
      <c r="P75" s="169"/>
      <c r="Q75" s="169"/>
      <c r="R75" s="160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1"/>
    </row>
    <row r="76" spans="4:31" hidden="1" x14ac:dyDescent="0.25">
      <c r="D76" s="110"/>
      <c r="E76" s="55">
        <f t="shared" si="5"/>
        <v>41</v>
      </c>
      <c r="F76" s="56">
        <f t="shared" si="4"/>
        <v>0</v>
      </c>
      <c r="G76" s="57">
        <f t="shared" si="0"/>
        <v>0</v>
      </c>
      <c r="H76" s="58">
        <f t="shared" si="1"/>
        <v>0</v>
      </c>
      <c r="I76" s="57">
        <f t="shared" si="2"/>
        <v>0</v>
      </c>
      <c r="J76" s="59">
        <f t="shared" si="3"/>
        <v>0</v>
      </c>
      <c r="K76" s="59">
        <f t="shared" si="6"/>
        <v>174</v>
      </c>
      <c r="L76" s="120">
        <f t="shared" si="7"/>
        <v>174</v>
      </c>
      <c r="M76" s="154"/>
      <c r="N76" s="160"/>
      <c r="O76" s="169"/>
      <c r="P76" s="169"/>
      <c r="Q76" s="169"/>
      <c r="R76" s="160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1"/>
    </row>
    <row r="77" spans="4:31" hidden="1" x14ac:dyDescent="0.25">
      <c r="D77" s="110"/>
      <c r="E77" s="55">
        <f t="shared" si="5"/>
        <v>42</v>
      </c>
      <c r="F77" s="56">
        <f t="shared" si="4"/>
        <v>0</v>
      </c>
      <c r="G77" s="57">
        <f t="shared" si="0"/>
        <v>0</v>
      </c>
      <c r="H77" s="58">
        <f t="shared" si="1"/>
        <v>0</v>
      </c>
      <c r="I77" s="57">
        <f t="shared" si="2"/>
        <v>0</v>
      </c>
      <c r="J77" s="59">
        <f t="shared" si="3"/>
        <v>0</v>
      </c>
      <c r="K77" s="59">
        <f t="shared" si="6"/>
        <v>174</v>
      </c>
      <c r="L77" s="120">
        <f t="shared" si="7"/>
        <v>174</v>
      </c>
      <c r="M77" s="154"/>
      <c r="N77" s="160"/>
      <c r="O77" s="169"/>
      <c r="P77" s="169"/>
      <c r="Q77" s="169"/>
      <c r="R77" s="160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1"/>
    </row>
    <row r="78" spans="4:31" hidden="1" x14ac:dyDescent="0.25">
      <c r="D78" s="110"/>
      <c r="E78" s="55">
        <f t="shared" si="5"/>
        <v>43</v>
      </c>
      <c r="F78" s="56">
        <f t="shared" si="4"/>
        <v>0</v>
      </c>
      <c r="G78" s="57">
        <f t="shared" si="0"/>
        <v>0</v>
      </c>
      <c r="H78" s="58">
        <f t="shared" si="1"/>
        <v>0</v>
      </c>
      <c r="I78" s="57">
        <f t="shared" si="2"/>
        <v>0</v>
      </c>
      <c r="J78" s="59">
        <f t="shared" si="3"/>
        <v>0</v>
      </c>
      <c r="K78" s="59">
        <f t="shared" si="6"/>
        <v>174</v>
      </c>
      <c r="L78" s="120">
        <f t="shared" si="7"/>
        <v>174</v>
      </c>
      <c r="M78" s="154"/>
      <c r="N78" s="160"/>
      <c r="O78" s="169"/>
      <c r="P78" s="169"/>
      <c r="Q78" s="169"/>
      <c r="R78" s="160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1"/>
    </row>
    <row r="79" spans="4:31" hidden="1" x14ac:dyDescent="0.25">
      <c r="D79" s="110"/>
      <c r="E79" s="55">
        <f t="shared" si="5"/>
        <v>44</v>
      </c>
      <c r="F79" s="56">
        <f t="shared" si="4"/>
        <v>0</v>
      </c>
      <c r="G79" s="57">
        <f t="shared" si="0"/>
        <v>0</v>
      </c>
      <c r="H79" s="58">
        <f t="shared" si="1"/>
        <v>0</v>
      </c>
      <c r="I79" s="57">
        <f t="shared" si="2"/>
        <v>0</v>
      </c>
      <c r="J79" s="59">
        <f t="shared" si="3"/>
        <v>0</v>
      </c>
      <c r="K79" s="59">
        <f t="shared" si="6"/>
        <v>174</v>
      </c>
      <c r="L79" s="120">
        <f t="shared" si="7"/>
        <v>174</v>
      </c>
      <c r="M79" s="154"/>
      <c r="N79" s="160"/>
      <c r="O79" s="169"/>
      <c r="P79" s="169"/>
      <c r="Q79" s="169"/>
      <c r="R79" s="160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1"/>
    </row>
    <row r="80" spans="4:31" hidden="1" x14ac:dyDescent="0.25">
      <c r="D80" s="110"/>
      <c r="E80" s="55">
        <f t="shared" si="5"/>
        <v>45</v>
      </c>
      <c r="F80" s="56">
        <f t="shared" si="4"/>
        <v>0</v>
      </c>
      <c r="G80" s="57">
        <f t="shared" si="0"/>
        <v>0</v>
      </c>
      <c r="H80" s="58">
        <f t="shared" si="1"/>
        <v>0</v>
      </c>
      <c r="I80" s="57">
        <f t="shared" si="2"/>
        <v>0</v>
      </c>
      <c r="J80" s="59">
        <f t="shared" si="3"/>
        <v>0</v>
      </c>
      <c r="K80" s="59">
        <f t="shared" si="6"/>
        <v>174</v>
      </c>
      <c r="L80" s="120">
        <f t="shared" si="7"/>
        <v>174</v>
      </c>
      <c r="M80" s="154"/>
      <c r="N80" s="160"/>
      <c r="O80" s="169"/>
      <c r="P80" s="169"/>
      <c r="Q80" s="169"/>
      <c r="R80" s="160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1"/>
    </row>
    <row r="81" spans="4:31" hidden="1" x14ac:dyDescent="0.25">
      <c r="D81" s="110"/>
      <c r="E81" s="55">
        <f t="shared" si="5"/>
        <v>46</v>
      </c>
      <c r="F81" s="56">
        <f t="shared" si="4"/>
        <v>0</v>
      </c>
      <c r="G81" s="57">
        <f t="shared" si="0"/>
        <v>0</v>
      </c>
      <c r="H81" s="58">
        <f t="shared" si="1"/>
        <v>0</v>
      </c>
      <c r="I81" s="57">
        <f t="shared" si="2"/>
        <v>0</v>
      </c>
      <c r="J81" s="59">
        <f t="shared" si="3"/>
        <v>0</v>
      </c>
      <c r="K81" s="59">
        <f t="shared" si="6"/>
        <v>174</v>
      </c>
      <c r="L81" s="120">
        <f t="shared" si="7"/>
        <v>174</v>
      </c>
      <c r="M81" s="154"/>
      <c r="N81" s="160"/>
      <c r="O81" s="169"/>
      <c r="P81" s="169"/>
      <c r="Q81" s="169"/>
      <c r="R81" s="160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1"/>
    </row>
    <row r="82" spans="4:31" hidden="1" x14ac:dyDescent="0.25">
      <c r="D82" s="110"/>
      <c r="E82" s="55">
        <f t="shared" si="5"/>
        <v>47</v>
      </c>
      <c r="F82" s="56">
        <f t="shared" si="4"/>
        <v>0</v>
      </c>
      <c r="G82" s="57">
        <f t="shared" si="0"/>
        <v>0</v>
      </c>
      <c r="H82" s="58">
        <f t="shared" si="1"/>
        <v>0</v>
      </c>
      <c r="I82" s="57">
        <f t="shared" si="2"/>
        <v>0</v>
      </c>
      <c r="J82" s="59">
        <f t="shared" si="3"/>
        <v>0</v>
      </c>
      <c r="K82" s="59">
        <f t="shared" si="6"/>
        <v>174</v>
      </c>
      <c r="L82" s="120">
        <f t="shared" si="7"/>
        <v>174</v>
      </c>
      <c r="M82" s="154"/>
      <c r="N82" s="160"/>
      <c r="O82" s="169"/>
      <c r="P82" s="169"/>
      <c r="Q82" s="169"/>
      <c r="R82" s="160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1"/>
    </row>
    <row r="83" spans="4:31" hidden="1" x14ac:dyDescent="0.25">
      <c r="D83" s="110"/>
      <c r="E83" s="55">
        <f t="shared" si="5"/>
        <v>48</v>
      </c>
      <c r="F83" s="56">
        <f t="shared" si="4"/>
        <v>0</v>
      </c>
      <c r="G83" s="57">
        <f t="shared" si="0"/>
        <v>0</v>
      </c>
      <c r="H83" s="58">
        <f t="shared" si="1"/>
        <v>0</v>
      </c>
      <c r="I83" s="57">
        <f t="shared" si="2"/>
        <v>0</v>
      </c>
      <c r="J83" s="59">
        <f t="shared" si="3"/>
        <v>0</v>
      </c>
      <c r="K83" s="59">
        <f t="shared" si="6"/>
        <v>174</v>
      </c>
      <c r="L83" s="120">
        <f t="shared" si="7"/>
        <v>174</v>
      </c>
      <c r="M83" s="154"/>
      <c r="N83" s="160"/>
      <c r="O83" s="169"/>
      <c r="P83" s="169"/>
      <c r="Q83" s="169"/>
      <c r="R83" s="160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1"/>
    </row>
    <row r="84" spans="4:31" hidden="1" x14ac:dyDescent="0.25">
      <c r="D84" s="110"/>
      <c r="E84" s="55">
        <f t="shared" si="5"/>
        <v>49</v>
      </c>
      <c r="F84" s="56">
        <f t="shared" si="4"/>
        <v>0</v>
      </c>
      <c r="G84" s="57">
        <f t="shared" si="0"/>
        <v>0</v>
      </c>
      <c r="H84" s="58">
        <f t="shared" si="1"/>
        <v>0</v>
      </c>
      <c r="I84" s="57">
        <f t="shared" si="2"/>
        <v>0</v>
      </c>
      <c r="J84" s="59">
        <f t="shared" si="3"/>
        <v>0</v>
      </c>
      <c r="K84" s="59">
        <f t="shared" si="6"/>
        <v>174</v>
      </c>
      <c r="L84" s="120">
        <f t="shared" si="7"/>
        <v>174</v>
      </c>
      <c r="M84" s="154"/>
      <c r="N84" s="160"/>
      <c r="O84" s="169"/>
      <c r="P84" s="169"/>
      <c r="Q84" s="169"/>
      <c r="R84" s="160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1"/>
    </row>
    <row r="85" spans="4:31" hidden="1" x14ac:dyDescent="0.25">
      <c r="D85" s="110"/>
      <c r="E85" s="55">
        <f t="shared" si="5"/>
        <v>50</v>
      </c>
      <c r="F85" s="56">
        <f t="shared" si="4"/>
        <v>0</v>
      </c>
      <c r="G85" s="57">
        <f t="shared" si="0"/>
        <v>0</v>
      </c>
      <c r="H85" s="58">
        <f t="shared" si="1"/>
        <v>0</v>
      </c>
      <c r="I85" s="57">
        <f t="shared" si="2"/>
        <v>0</v>
      </c>
      <c r="J85" s="59">
        <f t="shared" si="3"/>
        <v>0</v>
      </c>
      <c r="K85" s="59">
        <f t="shared" si="6"/>
        <v>174</v>
      </c>
      <c r="L85" s="120">
        <f t="shared" si="7"/>
        <v>174</v>
      </c>
      <c r="M85" s="154"/>
      <c r="N85" s="160"/>
      <c r="O85" s="169"/>
      <c r="P85" s="169"/>
      <c r="Q85" s="169"/>
      <c r="R85" s="160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1"/>
    </row>
    <row r="86" spans="4:31" hidden="1" x14ac:dyDescent="0.25">
      <c r="D86" s="110"/>
      <c r="E86" s="55">
        <f t="shared" si="5"/>
        <v>51</v>
      </c>
      <c r="F86" s="56">
        <f t="shared" si="4"/>
        <v>0</v>
      </c>
      <c r="G86" s="57">
        <f t="shared" si="0"/>
        <v>0</v>
      </c>
      <c r="H86" s="58">
        <f t="shared" si="1"/>
        <v>0</v>
      </c>
      <c r="I86" s="57">
        <f t="shared" si="2"/>
        <v>0</v>
      </c>
      <c r="J86" s="59">
        <f t="shared" si="3"/>
        <v>0</v>
      </c>
      <c r="K86" s="59">
        <f t="shared" si="6"/>
        <v>174</v>
      </c>
      <c r="L86" s="120">
        <f t="shared" si="7"/>
        <v>174</v>
      </c>
      <c r="M86" s="154"/>
      <c r="N86" s="160"/>
      <c r="O86" s="169"/>
      <c r="P86" s="169"/>
      <c r="Q86" s="169"/>
      <c r="R86" s="160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1"/>
    </row>
    <row r="87" spans="4:31" hidden="1" x14ac:dyDescent="0.25">
      <c r="D87" s="110"/>
      <c r="E87" s="55">
        <f t="shared" si="5"/>
        <v>52</v>
      </c>
      <c r="F87" s="56">
        <f t="shared" si="4"/>
        <v>0</v>
      </c>
      <c r="G87" s="57">
        <f t="shared" si="0"/>
        <v>0</v>
      </c>
      <c r="H87" s="58">
        <f t="shared" si="1"/>
        <v>0</v>
      </c>
      <c r="I87" s="57">
        <f t="shared" si="2"/>
        <v>0</v>
      </c>
      <c r="J87" s="59">
        <f t="shared" si="3"/>
        <v>0</v>
      </c>
      <c r="K87" s="59">
        <f t="shared" si="6"/>
        <v>174</v>
      </c>
      <c r="L87" s="120">
        <f t="shared" si="7"/>
        <v>174</v>
      </c>
      <c r="M87" s="154"/>
      <c r="N87" s="160"/>
      <c r="O87" s="169"/>
      <c r="P87" s="169"/>
      <c r="Q87" s="169"/>
      <c r="R87" s="160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1"/>
    </row>
    <row r="88" spans="4:31" hidden="1" x14ac:dyDescent="0.25">
      <c r="D88" s="110"/>
      <c r="E88" s="55">
        <f t="shared" si="5"/>
        <v>53</v>
      </c>
      <c r="F88" s="56">
        <f t="shared" si="4"/>
        <v>0</v>
      </c>
      <c r="G88" s="57">
        <f t="shared" si="0"/>
        <v>0</v>
      </c>
      <c r="H88" s="58">
        <f t="shared" si="1"/>
        <v>0</v>
      </c>
      <c r="I88" s="57">
        <f t="shared" si="2"/>
        <v>0</v>
      </c>
      <c r="J88" s="59">
        <f t="shared" si="3"/>
        <v>0</v>
      </c>
      <c r="K88" s="59">
        <f t="shared" si="6"/>
        <v>174</v>
      </c>
      <c r="L88" s="120">
        <f t="shared" si="7"/>
        <v>174</v>
      </c>
      <c r="M88" s="154"/>
      <c r="N88" s="160"/>
      <c r="O88" s="169"/>
      <c r="P88" s="169"/>
      <c r="Q88" s="169"/>
      <c r="R88" s="160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1"/>
    </row>
    <row r="89" spans="4:31" hidden="1" x14ac:dyDescent="0.25">
      <c r="D89" s="110"/>
      <c r="E89" s="55">
        <f t="shared" si="5"/>
        <v>54</v>
      </c>
      <c r="F89" s="56">
        <f t="shared" si="4"/>
        <v>0</v>
      </c>
      <c r="G89" s="57">
        <f t="shared" si="0"/>
        <v>0</v>
      </c>
      <c r="H89" s="58">
        <f t="shared" si="1"/>
        <v>0</v>
      </c>
      <c r="I89" s="57">
        <f t="shared" si="2"/>
        <v>0</v>
      </c>
      <c r="J89" s="59">
        <f t="shared" si="3"/>
        <v>0</v>
      </c>
      <c r="K89" s="59">
        <f t="shared" si="6"/>
        <v>174</v>
      </c>
      <c r="L89" s="120">
        <f t="shared" si="7"/>
        <v>174</v>
      </c>
      <c r="M89" s="154"/>
      <c r="N89" s="160"/>
      <c r="O89" s="169"/>
      <c r="P89" s="169"/>
      <c r="Q89" s="169"/>
      <c r="R89" s="160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1"/>
    </row>
    <row r="90" spans="4:31" hidden="1" x14ac:dyDescent="0.25">
      <c r="D90" s="110"/>
      <c r="E90" s="55">
        <f t="shared" si="5"/>
        <v>55</v>
      </c>
      <c r="F90" s="56">
        <f t="shared" si="4"/>
        <v>0</v>
      </c>
      <c r="G90" s="57">
        <f t="shared" si="0"/>
        <v>0</v>
      </c>
      <c r="H90" s="58">
        <f t="shared" si="1"/>
        <v>0</v>
      </c>
      <c r="I90" s="57">
        <f t="shared" si="2"/>
        <v>0</v>
      </c>
      <c r="J90" s="59">
        <f t="shared" si="3"/>
        <v>0</v>
      </c>
      <c r="K90" s="59">
        <f t="shared" si="6"/>
        <v>174</v>
      </c>
      <c r="L90" s="120">
        <f t="shared" si="7"/>
        <v>174</v>
      </c>
      <c r="M90" s="154"/>
      <c r="N90" s="160"/>
      <c r="O90" s="169"/>
      <c r="P90" s="169"/>
      <c r="Q90" s="169"/>
      <c r="R90" s="160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1"/>
    </row>
    <row r="91" spans="4:31" hidden="1" x14ac:dyDescent="0.25">
      <c r="D91" s="110"/>
      <c r="E91" s="55">
        <f t="shared" si="5"/>
        <v>56</v>
      </c>
      <c r="F91" s="56">
        <f t="shared" si="4"/>
        <v>0</v>
      </c>
      <c r="G91" s="57">
        <f t="shared" si="0"/>
        <v>0</v>
      </c>
      <c r="H91" s="58">
        <f t="shared" si="1"/>
        <v>0</v>
      </c>
      <c r="I91" s="57">
        <f t="shared" si="2"/>
        <v>0</v>
      </c>
      <c r="J91" s="59">
        <f t="shared" si="3"/>
        <v>0</v>
      </c>
      <c r="K91" s="59">
        <f t="shared" si="6"/>
        <v>174</v>
      </c>
      <c r="L91" s="120">
        <f t="shared" si="7"/>
        <v>174</v>
      </c>
      <c r="M91" s="154"/>
      <c r="N91" s="160"/>
      <c r="O91" s="169"/>
      <c r="P91" s="169"/>
      <c r="Q91" s="169"/>
      <c r="R91" s="160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1"/>
    </row>
    <row r="92" spans="4:31" hidden="1" x14ac:dyDescent="0.25">
      <c r="D92" s="110"/>
      <c r="E92" s="55">
        <f t="shared" si="5"/>
        <v>57</v>
      </c>
      <c r="F92" s="56">
        <f t="shared" si="4"/>
        <v>0</v>
      </c>
      <c r="G92" s="57">
        <f t="shared" si="0"/>
        <v>0</v>
      </c>
      <c r="H92" s="58">
        <f t="shared" si="1"/>
        <v>0</v>
      </c>
      <c r="I92" s="57">
        <f t="shared" si="2"/>
        <v>0</v>
      </c>
      <c r="J92" s="59">
        <f t="shared" si="3"/>
        <v>0</v>
      </c>
      <c r="K92" s="59">
        <f t="shared" si="6"/>
        <v>174</v>
      </c>
      <c r="L92" s="120">
        <f t="shared" si="7"/>
        <v>174</v>
      </c>
      <c r="M92" s="154"/>
      <c r="N92" s="160"/>
      <c r="O92" s="169"/>
      <c r="P92" s="169"/>
      <c r="Q92" s="169"/>
      <c r="R92" s="160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1"/>
    </row>
    <row r="93" spans="4:31" hidden="1" x14ac:dyDescent="0.25">
      <c r="D93" s="110"/>
      <c r="E93" s="55">
        <f t="shared" si="5"/>
        <v>58</v>
      </c>
      <c r="F93" s="56">
        <f t="shared" si="4"/>
        <v>0</v>
      </c>
      <c r="G93" s="57">
        <f t="shared" si="0"/>
        <v>0</v>
      </c>
      <c r="H93" s="58">
        <f t="shared" si="1"/>
        <v>0</v>
      </c>
      <c r="I93" s="57">
        <f t="shared" si="2"/>
        <v>0</v>
      </c>
      <c r="J93" s="59">
        <f t="shared" si="3"/>
        <v>0</v>
      </c>
      <c r="K93" s="59">
        <f t="shared" si="6"/>
        <v>174</v>
      </c>
      <c r="L93" s="120">
        <f t="shared" si="7"/>
        <v>174</v>
      </c>
      <c r="M93" s="154"/>
      <c r="N93" s="160"/>
      <c r="O93" s="169"/>
      <c r="P93" s="169"/>
      <c r="Q93" s="169"/>
      <c r="R93" s="160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1"/>
    </row>
    <row r="94" spans="4:31" hidden="1" x14ac:dyDescent="0.25">
      <c r="D94" s="110"/>
      <c r="E94" s="55">
        <f t="shared" si="5"/>
        <v>59</v>
      </c>
      <c r="F94" s="56">
        <f t="shared" si="4"/>
        <v>0</v>
      </c>
      <c r="G94" s="57">
        <f t="shared" si="0"/>
        <v>0</v>
      </c>
      <c r="H94" s="58">
        <f t="shared" si="1"/>
        <v>0</v>
      </c>
      <c r="I94" s="57">
        <f t="shared" si="2"/>
        <v>0</v>
      </c>
      <c r="J94" s="59">
        <f t="shared" si="3"/>
        <v>0</v>
      </c>
      <c r="K94" s="59">
        <f t="shared" si="6"/>
        <v>174</v>
      </c>
      <c r="L94" s="120">
        <f t="shared" si="7"/>
        <v>174</v>
      </c>
      <c r="M94" s="154"/>
      <c r="N94" s="160"/>
      <c r="O94" s="169"/>
      <c r="P94" s="169"/>
      <c r="Q94" s="169"/>
      <c r="R94" s="160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1"/>
    </row>
    <row r="95" spans="4:31" hidden="1" x14ac:dyDescent="0.25">
      <c r="D95" s="110"/>
      <c r="E95" s="55">
        <f t="shared" si="5"/>
        <v>60</v>
      </c>
      <c r="F95" s="56">
        <f t="shared" si="4"/>
        <v>0</v>
      </c>
      <c r="G95" s="57">
        <f t="shared" si="0"/>
        <v>0</v>
      </c>
      <c r="H95" s="58">
        <f t="shared" si="1"/>
        <v>0</v>
      </c>
      <c r="I95" s="57">
        <f t="shared" si="2"/>
        <v>0</v>
      </c>
      <c r="J95" s="59">
        <f t="shared" si="3"/>
        <v>0</v>
      </c>
      <c r="K95" s="59">
        <f t="shared" si="6"/>
        <v>174</v>
      </c>
      <c r="L95" s="120">
        <f t="shared" si="7"/>
        <v>174</v>
      </c>
      <c r="M95" s="154"/>
      <c r="N95" s="160"/>
      <c r="O95" s="169"/>
      <c r="P95" s="169"/>
      <c r="Q95" s="169"/>
      <c r="R95" s="160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1"/>
    </row>
    <row r="96" spans="4:31" hidden="1" x14ac:dyDescent="0.25">
      <c r="D96" s="110"/>
      <c r="E96" s="55">
        <f t="shared" si="5"/>
        <v>61</v>
      </c>
      <c r="F96" s="56">
        <f t="shared" si="4"/>
        <v>0</v>
      </c>
      <c r="G96" s="57">
        <f t="shared" si="0"/>
        <v>0</v>
      </c>
      <c r="H96" s="58">
        <f t="shared" si="1"/>
        <v>0</v>
      </c>
      <c r="I96" s="57">
        <f t="shared" si="2"/>
        <v>0</v>
      </c>
      <c r="J96" s="59">
        <f t="shared" si="3"/>
        <v>0</v>
      </c>
      <c r="K96" s="59">
        <f t="shared" si="6"/>
        <v>174</v>
      </c>
      <c r="L96" s="120">
        <f t="shared" si="7"/>
        <v>174</v>
      </c>
      <c r="M96" s="154"/>
      <c r="N96" s="160"/>
      <c r="O96" s="169"/>
      <c r="P96" s="169"/>
      <c r="Q96" s="169"/>
      <c r="R96" s="160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1"/>
    </row>
    <row r="97" spans="4:31" hidden="1" x14ac:dyDescent="0.25">
      <c r="D97" s="110"/>
      <c r="E97" s="55">
        <f t="shared" si="5"/>
        <v>62</v>
      </c>
      <c r="F97" s="56">
        <f t="shared" si="4"/>
        <v>0</v>
      </c>
      <c r="G97" s="57">
        <f t="shared" si="0"/>
        <v>0</v>
      </c>
      <c r="H97" s="58">
        <f t="shared" si="1"/>
        <v>0</v>
      </c>
      <c r="I97" s="57">
        <f t="shared" si="2"/>
        <v>0</v>
      </c>
      <c r="J97" s="59">
        <f t="shared" si="3"/>
        <v>0</v>
      </c>
      <c r="K97" s="59">
        <f t="shared" si="6"/>
        <v>174</v>
      </c>
      <c r="L97" s="120">
        <f t="shared" si="7"/>
        <v>174</v>
      </c>
      <c r="M97" s="154"/>
      <c r="N97" s="160"/>
      <c r="O97" s="169"/>
      <c r="P97" s="169"/>
      <c r="Q97" s="169"/>
      <c r="R97" s="160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1"/>
    </row>
    <row r="98" spans="4:31" hidden="1" x14ac:dyDescent="0.25">
      <c r="D98" s="110"/>
      <c r="E98" s="55">
        <f t="shared" si="5"/>
        <v>63</v>
      </c>
      <c r="F98" s="56">
        <f t="shared" si="4"/>
        <v>0</v>
      </c>
      <c r="G98" s="57">
        <f t="shared" si="0"/>
        <v>0</v>
      </c>
      <c r="H98" s="58">
        <f t="shared" si="1"/>
        <v>0</v>
      </c>
      <c r="I98" s="57">
        <f t="shared" si="2"/>
        <v>0</v>
      </c>
      <c r="J98" s="59">
        <f t="shared" si="3"/>
        <v>0</v>
      </c>
      <c r="K98" s="59">
        <f t="shared" si="6"/>
        <v>174</v>
      </c>
      <c r="L98" s="120">
        <f t="shared" si="7"/>
        <v>174</v>
      </c>
      <c r="M98" s="154"/>
      <c r="N98" s="160"/>
      <c r="O98" s="169"/>
      <c r="P98" s="169"/>
      <c r="Q98" s="169"/>
      <c r="R98" s="160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1"/>
    </row>
    <row r="99" spans="4:31" hidden="1" x14ac:dyDescent="0.25">
      <c r="D99" s="110"/>
      <c r="E99" s="55">
        <f t="shared" si="5"/>
        <v>64</v>
      </c>
      <c r="F99" s="56">
        <f t="shared" si="4"/>
        <v>0</v>
      </c>
      <c r="G99" s="57">
        <f t="shared" si="0"/>
        <v>0</v>
      </c>
      <c r="H99" s="58">
        <f t="shared" si="1"/>
        <v>0</v>
      </c>
      <c r="I99" s="57">
        <f t="shared" si="2"/>
        <v>0</v>
      </c>
      <c r="J99" s="59">
        <f t="shared" si="3"/>
        <v>0</v>
      </c>
      <c r="K99" s="59">
        <f t="shared" si="6"/>
        <v>174</v>
      </c>
      <c r="L99" s="120">
        <f t="shared" si="7"/>
        <v>174</v>
      </c>
      <c r="M99" s="154"/>
      <c r="N99" s="160"/>
      <c r="O99" s="169"/>
      <c r="P99" s="169"/>
      <c r="Q99" s="169"/>
      <c r="R99" s="160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1"/>
    </row>
    <row r="100" spans="4:31" hidden="1" x14ac:dyDescent="0.25">
      <c r="D100" s="110"/>
      <c r="E100" s="55">
        <f t="shared" si="5"/>
        <v>65</v>
      </c>
      <c r="F100" s="56">
        <f t="shared" si="4"/>
        <v>0</v>
      </c>
      <c r="G100" s="57">
        <f t="shared" ref="G100:G163" si="8">+F100*$G$19/12</f>
        <v>0</v>
      </c>
      <c r="H100" s="58">
        <f t="shared" ref="H100:H163" si="9">+IF(E100&lt;=($G$18*12),$H$35-G100,0)</f>
        <v>0</v>
      </c>
      <c r="I100" s="57">
        <f t="shared" ref="I100:I163" si="10">+H100+G100</f>
        <v>0</v>
      </c>
      <c r="J100" s="59">
        <f t="shared" ref="J100:J163" si="11">+F100/1000*$J$33</f>
        <v>0</v>
      </c>
      <c r="K100" s="59">
        <f t="shared" si="6"/>
        <v>174</v>
      </c>
      <c r="L100" s="120">
        <f t="shared" si="7"/>
        <v>174</v>
      </c>
      <c r="M100" s="154"/>
      <c r="N100" s="160"/>
      <c r="O100" s="169"/>
      <c r="P100" s="169"/>
      <c r="Q100" s="169"/>
      <c r="R100" s="160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1"/>
    </row>
    <row r="101" spans="4:31" hidden="1" x14ac:dyDescent="0.25">
      <c r="D101" s="110"/>
      <c r="E101" s="55">
        <f t="shared" si="5"/>
        <v>66</v>
      </c>
      <c r="F101" s="56">
        <f t="shared" ref="F101:F164" si="12">IF(F100-H100&gt;0.01,F100-H100,0)</f>
        <v>0</v>
      </c>
      <c r="G101" s="57">
        <f t="shared" si="8"/>
        <v>0</v>
      </c>
      <c r="H101" s="58">
        <f t="shared" si="9"/>
        <v>0</v>
      </c>
      <c r="I101" s="57">
        <f t="shared" si="10"/>
        <v>0</v>
      </c>
      <c r="J101" s="59">
        <f t="shared" si="11"/>
        <v>0</v>
      </c>
      <c r="K101" s="59">
        <f t="shared" si="6"/>
        <v>174</v>
      </c>
      <c r="L101" s="120">
        <f t="shared" si="7"/>
        <v>174</v>
      </c>
      <c r="M101" s="154"/>
      <c r="N101" s="160"/>
      <c r="O101" s="169"/>
      <c r="P101" s="169"/>
      <c r="Q101" s="169"/>
      <c r="R101" s="160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1"/>
    </row>
    <row r="102" spans="4:31" hidden="1" x14ac:dyDescent="0.25">
      <c r="D102" s="110"/>
      <c r="E102" s="55">
        <f t="shared" ref="E102:E165" si="13">+E101+1</f>
        <v>67</v>
      </c>
      <c r="F102" s="56">
        <f t="shared" si="12"/>
        <v>0</v>
      </c>
      <c r="G102" s="57">
        <f t="shared" si="8"/>
        <v>0</v>
      </c>
      <c r="H102" s="58">
        <f t="shared" si="9"/>
        <v>0</v>
      </c>
      <c r="I102" s="57">
        <f t="shared" si="10"/>
        <v>0</v>
      </c>
      <c r="J102" s="59">
        <f t="shared" si="11"/>
        <v>0</v>
      </c>
      <c r="K102" s="59">
        <f t="shared" ref="K102:K165" si="14">+IF(E102&lt;=($G$18*12),($E$22*0.6)/1000*$K$33,0)</f>
        <v>174</v>
      </c>
      <c r="L102" s="120">
        <f t="shared" ref="L102:L155" si="15">+I102+J102+K102</f>
        <v>174</v>
      </c>
      <c r="M102" s="154"/>
      <c r="N102" s="160"/>
      <c r="O102" s="169"/>
      <c r="P102" s="169"/>
      <c r="Q102" s="169"/>
      <c r="R102" s="160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1"/>
    </row>
    <row r="103" spans="4:31" hidden="1" x14ac:dyDescent="0.25">
      <c r="D103" s="110"/>
      <c r="E103" s="55">
        <f t="shared" si="13"/>
        <v>68</v>
      </c>
      <c r="F103" s="56">
        <f t="shared" si="12"/>
        <v>0</v>
      </c>
      <c r="G103" s="57">
        <f t="shared" si="8"/>
        <v>0</v>
      </c>
      <c r="H103" s="58">
        <f t="shared" si="9"/>
        <v>0</v>
      </c>
      <c r="I103" s="57">
        <f t="shared" si="10"/>
        <v>0</v>
      </c>
      <c r="J103" s="59">
        <f t="shared" si="11"/>
        <v>0</v>
      </c>
      <c r="K103" s="59">
        <f t="shared" si="14"/>
        <v>174</v>
      </c>
      <c r="L103" s="120">
        <f t="shared" si="15"/>
        <v>174</v>
      </c>
      <c r="M103" s="154"/>
      <c r="N103" s="160"/>
      <c r="O103" s="169"/>
      <c r="P103" s="169"/>
      <c r="Q103" s="169"/>
      <c r="R103" s="160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1"/>
    </row>
    <row r="104" spans="4:31" hidden="1" x14ac:dyDescent="0.25">
      <c r="D104" s="110"/>
      <c r="E104" s="55">
        <f t="shared" si="13"/>
        <v>69</v>
      </c>
      <c r="F104" s="56">
        <f t="shared" si="12"/>
        <v>0</v>
      </c>
      <c r="G104" s="57">
        <f t="shared" si="8"/>
        <v>0</v>
      </c>
      <c r="H104" s="58">
        <f t="shared" si="9"/>
        <v>0</v>
      </c>
      <c r="I104" s="57">
        <f t="shared" si="10"/>
        <v>0</v>
      </c>
      <c r="J104" s="59">
        <f t="shared" si="11"/>
        <v>0</v>
      </c>
      <c r="K104" s="59">
        <f t="shared" si="14"/>
        <v>174</v>
      </c>
      <c r="L104" s="120">
        <f t="shared" si="15"/>
        <v>174</v>
      </c>
      <c r="M104" s="154"/>
      <c r="N104" s="160"/>
      <c r="O104" s="169"/>
      <c r="P104" s="169"/>
      <c r="Q104" s="169"/>
      <c r="R104" s="160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1"/>
    </row>
    <row r="105" spans="4:31" hidden="1" x14ac:dyDescent="0.25">
      <c r="D105" s="110"/>
      <c r="E105" s="55">
        <f t="shared" si="13"/>
        <v>70</v>
      </c>
      <c r="F105" s="56">
        <f t="shared" si="12"/>
        <v>0</v>
      </c>
      <c r="G105" s="57">
        <f t="shared" si="8"/>
        <v>0</v>
      </c>
      <c r="H105" s="58">
        <f t="shared" si="9"/>
        <v>0</v>
      </c>
      <c r="I105" s="57">
        <f t="shared" si="10"/>
        <v>0</v>
      </c>
      <c r="J105" s="59">
        <f t="shared" si="11"/>
        <v>0</v>
      </c>
      <c r="K105" s="59">
        <f t="shared" si="14"/>
        <v>174</v>
      </c>
      <c r="L105" s="120">
        <f t="shared" si="15"/>
        <v>174</v>
      </c>
      <c r="M105" s="154"/>
      <c r="N105" s="160"/>
      <c r="O105" s="169"/>
      <c r="P105" s="169"/>
      <c r="Q105" s="169"/>
      <c r="R105" s="160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1"/>
    </row>
    <row r="106" spans="4:31" hidden="1" x14ac:dyDescent="0.25">
      <c r="D106" s="110"/>
      <c r="E106" s="55">
        <f t="shared" si="13"/>
        <v>71</v>
      </c>
      <c r="F106" s="56">
        <f t="shared" si="12"/>
        <v>0</v>
      </c>
      <c r="G106" s="57">
        <f t="shared" si="8"/>
        <v>0</v>
      </c>
      <c r="H106" s="58">
        <f t="shared" si="9"/>
        <v>0</v>
      </c>
      <c r="I106" s="57">
        <f t="shared" si="10"/>
        <v>0</v>
      </c>
      <c r="J106" s="59">
        <f t="shared" si="11"/>
        <v>0</v>
      </c>
      <c r="K106" s="59">
        <f t="shared" si="14"/>
        <v>174</v>
      </c>
      <c r="L106" s="120">
        <f t="shared" si="15"/>
        <v>174</v>
      </c>
      <c r="M106" s="154"/>
      <c r="N106" s="160"/>
      <c r="O106" s="169"/>
      <c r="P106" s="169"/>
      <c r="Q106" s="169"/>
      <c r="R106" s="160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1"/>
    </row>
    <row r="107" spans="4:31" hidden="1" x14ac:dyDescent="0.25">
      <c r="D107" s="110"/>
      <c r="E107" s="55">
        <f t="shared" si="13"/>
        <v>72</v>
      </c>
      <c r="F107" s="56">
        <f t="shared" si="12"/>
        <v>0</v>
      </c>
      <c r="G107" s="57">
        <f t="shared" si="8"/>
        <v>0</v>
      </c>
      <c r="H107" s="58">
        <f t="shared" si="9"/>
        <v>0</v>
      </c>
      <c r="I107" s="57">
        <f t="shared" si="10"/>
        <v>0</v>
      </c>
      <c r="J107" s="59">
        <f t="shared" si="11"/>
        <v>0</v>
      </c>
      <c r="K107" s="59">
        <f t="shared" si="14"/>
        <v>174</v>
      </c>
      <c r="L107" s="120">
        <f t="shared" si="15"/>
        <v>174</v>
      </c>
      <c r="M107" s="154"/>
      <c r="N107" s="160"/>
      <c r="O107" s="169"/>
      <c r="P107" s="169"/>
      <c r="Q107" s="169"/>
      <c r="R107" s="160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1"/>
    </row>
    <row r="108" spans="4:31" hidden="1" x14ac:dyDescent="0.25">
      <c r="D108" s="110"/>
      <c r="E108" s="55">
        <f t="shared" si="13"/>
        <v>73</v>
      </c>
      <c r="F108" s="56">
        <f t="shared" si="12"/>
        <v>0</v>
      </c>
      <c r="G108" s="57">
        <f t="shared" si="8"/>
        <v>0</v>
      </c>
      <c r="H108" s="58">
        <f t="shared" si="9"/>
        <v>0</v>
      </c>
      <c r="I108" s="57">
        <f t="shared" si="10"/>
        <v>0</v>
      </c>
      <c r="J108" s="59">
        <f t="shared" si="11"/>
        <v>0</v>
      </c>
      <c r="K108" s="59">
        <f t="shared" si="14"/>
        <v>174</v>
      </c>
      <c r="L108" s="120">
        <f t="shared" si="15"/>
        <v>174</v>
      </c>
      <c r="M108" s="154"/>
      <c r="N108" s="160"/>
      <c r="O108" s="169"/>
      <c r="P108" s="169"/>
      <c r="Q108" s="169"/>
      <c r="R108" s="160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1"/>
    </row>
    <row r="109" spans="4:31" hidden="1" x14ac:dyDescent="0.25">
      <c r="D109" s="110"/>
      <c r="E109" s="55">
        <f t="shared" si="13"/>
        <v>74</v>
      </c>
      <c r="F109" s="56">
        <f t="shared" si="12"/>
        <v>0</v>
      </c>
      <c r="G109" s="57">
        <f t="shared" si="8"/>
        <v>0</v>
      </c>
      <c r="H109" s="58">
        <f t="shared" si="9"/>
        <v>0</v>
      </c>
      <c r="I109" s="57">
        <f t="shared" si="10"/>
        <v>0</v>
      </c>
      <c r="J109" s="59">
        <f t="shared" si="11"/>
        <v>0</v>
      </c>
      <c r="K109" s="59">
        <f t="shared" si="14"/>
        <v>174</v>
      </c>
      <c r="L109" s="120">
        <f t="shared" si="15"/>
        <v>174</v>
      </c>
      <c r="M109" s="154"/>
      <c r="N109" s="160"/>
      <c r="O109" s="169"/>
      <c r="P109" s="169"/>
      <c r="Q109" s="169"/>
      <c r="R109" s="160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1"/>
    </row>
    <row r="110" spans="4:31" hidden="1" x14ac:dyDescent="0.25">
      <c r="D110" s="110"/>
      <c r="E110" s="55">
        <f t="shared" si="13"/>
        <v>75</v>
      </c>
      <c r="F110" s="56">
        <f t="shared" si="12"/>
        <v>0</v>
      </c>
      <c r="G110" s="57">
        <f t="shared" si="8"/>
        <v>0</v>
      </c>
      <c r="H110" s="58">
        <f t="shared" si="9"/>
        <v>0</v>
      </c>
      <c r="I110" s="57">
        <f t="shared" si="10"/>
        <v>0</v>
      </c>
      <c r="J110" s="59">
        <f t="shared" si="11"/>
        <v>0</v>
      </c>
      <c r="K110" s="59">
        <f t="shared" si="14"/>
        <v>174</v>
      </c>
      <c r="L110" s="120">
        <f t="shared" si="15"/>
        <v>174</v>
      </c>
      <c r="M110" s="154"/>
      <c r="N110" s="160"/>
      <c r="O110" s="169"/>
      <c r="P110" s="169"/>
      <c r="Q110" s="169"/>
      <c r="R110" s="160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1"/>
    </row>
    <row r="111" spans="4:31" hidden="1" x14ac:dyDescent="0.25">
      <c r="D111" s="110"/>
      <c r="E111" s="55">
        <f t="shared" si="13"/>
        <v>76</v>
      </c>
      <c r="F111" s="56">
        <f t="shared" si="12"/>
        <v>0</v>
      </c>
      <c r="G111" s="57">
        <f t="shared" si="8"/>
        <v>0</v>
      </c>
      <c r="H111" s="58">
        <f t="shared" si="9"/>
        <v>0</v>
      </c>
      <c r="I111" s="57">
        <f t="shared" si="10"/>
        <v>0</v>
      </c>
      <c r="J111" s="59">
        <f t="shared" si="11"/>
        <v>0</v>
      </c>
      <c r="K111" s="59">
        <f t="shared" si="14"/>
        <v>174</v>
      </c>
      <c r="L111" s="120">
        <f t="shared" si="15"/>
        <v>174</v>
      </c>
      <c r="M111" s="154"/>
      <c r="N111" s="160"/>
      <c r="O111" s="169"/>
      <c r="P111" s="169"/>
      <c r="Q111" s="169"/>
      <c r="R111" s="160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1"/>
    </row>
    <row r="112" spans="4:31" hidden="1" x14ac:dyDescent="0.25">
      <c r="D112" s="110"/>
      <c r="E112" s="55">
        <f t="shared" si="13"/>
        <v>77</v>
      </c>
      <c r="F112" s="56">
        <f t="shared" si="12"/>
        <v>0</v>
      </c>
      <c r="G112" s="57">
        <f t="shared" si="8"/>
        <v>0</v>
      </c>
      <c r="H112" s="58">
        <f t="shared" si="9"/>
        <v>0</v>
      </c>
      <c r="I112" s="57">
        <f t="shared" si="10"/>
        <v>0</v>
      </c>
      <c r="J112" s="59">
        <f t="shared" si="11"/>
        <v>0</v>
      </c>
      <c r="K112" s="59">
        <f t="shared" si="14"/>
        <v>174</v>
      </c>
      <c r="L112" s="120">
        <f t="shared" si="15"/>
        <v>174</v>
      </c>
      <c r="M112" s="154"/>
      <c r="N112" s="160"/>
      <c r="O112" s="169"/>
      <c r="P112" s="169"/>
      <c r="Q112" s="169"/>
      <c r="R112" s="160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1"/>
    </row>
    <row r="113" spans="4:31" hidden="1" x14ac:dyDescent="0.25">
      <c r="D113" s="110"/>
      <c r="E113" s="55">
        <f t="shared" si="13"/>
        <v>78</v>
      </c>
      <c r="F113" s="56">
        <f t="shared" si="12"/>
        <v>0</v>
      </c>
      <c r="G113" s="57">
        <f t="shared" si="8"/>
        <v>0</v>
      </c>
      <c r="H113" s="58">
        <f t="shared" si="9"/>
        <v>0</v>
      </c>
      <c r="I113" s="57">
        <f t="shared" si="10"/>
        <v>0</v>
      </c>
      <c r="J113" s="59">
        <f t="shared" si="11"/>
        <v>0</v>
      </c>
      <c r="K113" s="59">
        <f t="shared" si="14"/>
        <v>174</v>
      </c>
      <c r="L113" s="120">
        <f t="shared" si="15"/>
        <v>174</v>
      </c>
      <c r="M113" s="154"/>
      <c r="N113" s="160"/>
      <c r="O113" s="169"/>
      <c r="P113" s="169"/>
      <c r="Q113" s="169"/>
      <c r="R113" s="160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1"/>
    </row>
    <row r="114" spans="4:31" hidden="1" x14ac:dyDescent="0.25">
      <c r="D114" s="110"/>
      <c r="E114" s="55">
        <f t="shared" si="13"/>
        <v>79</v>
      </c>
      <c r="F114" s="56">
        <f t="shared" si="12"/>
        <v>0</v>
      </c>
      <c r="G114" s="57">
        <f t="shared" si="8"/>
        <v>0</v>
      </c>
      <c r="H114" s="58">
        <f t="shared" si="9"/>
        <v>0</v>
      </c>
      <c r="I114" s="57">
        <f t="shared" si="10"/>
        <v>0</v>
      </c>
      <c r="J114" s="59">
        <f t="shared" si="11"/>
        <v>0</v>
      </c>
      <c r="K114" s="59">
        <f t="shared" si="14"/>
        <v>174</v>
      </c>
      <c r="L114" s="120">
        <f t="shared" si="15"/>
        <v>174</v>
      </c>
      <c r="M114" s="154"/>
      <c r="N114" s="160"/>
      <c r="O114" s="169"/>
      <c r="P114" s="169"/>
      <c r="Q114" s="169"/>
      <c r="R114" s="160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1"/>
    </row>
    <row r="115" spans="4:31" hidden="1" x14ac:dyDescent="0.25">
      <c r="D115" s="110"/>
      <c r="E115" s="55">
        <f t="shared" si="13"/>
        <v>80</v>
      </c>
      <c r="F115" s="56">
        <f t="shared" si="12"/>
        <v>0</v>
      </c>
      <c r="G115" s="57">
        <f t="shared" si="8"/>
        <v>0</v>
      </c>
      <c r="H115" s="58">
        <f t="shared" si="9"/>
        <v>0</v>
      </c>
      <c r="I115" s="57">
        <f t="shared" si="10"/>
        <v>0</v>
      </c>
      <c r="J115" s="59">
        <f t="shared" si="11"/>
        <v>0</v>
      </c>
      <c r="K115" s="59">
        <f t="shared" si="14"/>
        <v>174</v>
      </c>
      <c r="L115" s="120">
        <f t="shared" si="15"/>
        <v>174</v>
      </c>
      <c r="M115" s="154"/>
      <c r="N115" s="160"/>
      <c r="O115" s="169"/>
      <c r="P115" s="169"/>
      <c r="Q115" s="169"/>
      <c r="R115" s="160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1"/>
    </row>
    <row r="116" spans="4:31" hidden="1" x14ac:dyDescent="0.25">
      <c r="D116" s="110"/>
      <c r="E116" s="55">
        <f t="shared" si="13"/>
        <v>81</v>
      </c>
      <c r="F116" s="56">
        <f t="shared" si="12"/>
        <v>0</v>
      </c>
      <c r="G116" s="57">
        <f t="shared" si="8"/>
        <v>0</v>
      </c>
      <c r="H116" s="58">
        <f t="shared" si="9"/>
        <v>0</v>
      </c>
      <c r="I116" s="57">
        <f t="shared" si="10"/>
        <v>0</v>
      </c>
      <c r="J116" s="59">
        <f t="shared" si="11"/>
        <v>0</v>
      </c>
      <c r="K116" s="59">
        <f t="shared" si="14"/>
        <v>174</v>
      </c>
      <c r="L116" s="120">
        <f t="shared" si="15"/>
        <v>174</v>
      </c>
      <c r="M116" s="154"/>
      <c r="N116" s="160"/>
      <c r="O116" s="169"/>
      <c r="P116" s="169"/>
      <c r="Q116" s="169"/>
      <c r="R116" s="160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1"/>
    </row>
    <row r="117" spans="4:31" hidden="1" x14ac:dyDescent="0.25">
      <c r="D117" s="110"/>
      <c r="E117" s="55">
        <f t="shared" si="13"/>
        <v>82</v>
      </c>
      <c r="F117" s="56">
        <f t="shared" si="12"/>
        <v>0</v>
      </c>
      <c r="G117" s="57">
        <f t="shared" si="8"/>
        <v>0</v>
      </c>
      <c r="H117" s="58">
        <f t="shared" si="9"/>
        <v>0</v>
      </c>
      <c r="I117" s="57">
        <f t="shared" si="10"/>
        <v>0</v>
      </c>
      <c r="J117" s="59">
        <f t="shared" si="11"/>
        <v>0</v>
      </c>
      <c r="K117" s="59">
        <f t="shared" si="14"/>
        <v>174</v>
      </c>
      <c r="L117" s="120">
        <f t="shared" si="15"/>
        <v>174</v>
      </c>
      <c r="M117" s="154"/>
      <c r="N117" s="160"/>
      <c r="O117" s="169"/>
      <c r="P117" s="169"/>
      <c r="Q117" s="169"/>
      <c r="R117" s="160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1"/>
    </row>
    <row r="118" spans="4:31" hidden="1" x14ac:dyDescent="0.25">
      <c r="D118" s="110"/>
      <c r="E118" s="55">
        <f t="shared" si="13"/>
        <v>83</v>
      </c>
      <c r="F118" s="56">
        <f t="shared" si="12"/>
        <v>0</v>
      </c>
      <c r="G118" s="57">
        <f t="shared" si="8"/>
        <v>0</v>
      </c>
      <c r="H118" s="58">
        <f t="shared" si="9"/>
        <v>0</v>
      </c>
      <c r="I118" s="57">
        <f t="shared" si="10"/>
        <v>0</v>
      </c>
      <c r="J118" s="59">
        <f t="shared" si="11"/>
        <v>0</v>
      </c>
      <c r="K118" s="59">
        <f t="shared" si="14"/>
        <v>174</v>
      </c>
      <c r="L118" s="120">
        <f t="shared" si="15"/>
        <v>174</v>
      </c>
      <c r="M118" s="154"/>
      <c r="N118" s="160"/>
      <c r="O118" s="169"/>
      <c r="P118" s="169"/>
      <c r="Q118" s="169"/>
      <c r="R118" s="160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1"/>
    </row>
    <row r="119" spans="4:31" hidden="1" x14ac:dyDescent="0.25">
      <c r="D119" s="110"/>
      <c r="E119" s="55">
        <f t="shared" si="13"/>
        <v>84</v>
      </c>
      <c r="F119" s="56">
        <f t="shared" si="12"/>
        <v>0</v>
      </c>
      <c r="G119" s="57">
        <f t="shared" si="8"/>
        <v>0</v>
      </c>
      <c r="H119" s="58">
        <f t="shared" si="9"/>
        <v>0</v>
      </c>
      <c r="I119" s="57">
        <f t="shared" si="10"/>
        <v>0</v>
      </c>
      <c r="J119" s="59">
        <f t="shared" si="11"/>
        <v>0</v>
      </c>
      <c r="K119" s="59">
        <f t="shared" si="14"/>
        <v>174</v>
      </c>
      <c r="L119" s="120">
        <f t="shared" si="15"/>
        <v>174</v>
      </c>
      <c r="M119" s="154"/>
      <c r="N119" s="160"/>
      <c r="O119" s="169"/>
      <c r="P119" s="169"/>
      <c r="Q119" s="169"/>
      <c r="R119" s="160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1"/>
    </row>
    <row r="120" spans="4:31" hidden="1" x14ac:dyDescent="0.25">
      <c r="D120" s="110"/>
      <c r="E120" s="55">
        <f t="shared" si="13"/>
        <v>85</v>
      </c>
      <c r="F120" s="56">
        <f t="shared" si="12"/>
        <v>0</v>
      </c>
      <c r="G120" s="57">
        <f t="shared" si="8"/>
        <v>0</v>
      </c>
      <c r="H120" s="58">
        <f t="shared" si="9"/>
        <v>0</v>
      </c>
      <c r="I120" s="57">
        <f t="shared" si="10"/>
        <v>0</v>
      </c>
      <c r="J120" s="59">
        <f t="shared" si="11"/>
        <v>0</v>
      </c>
      <c r="K120" s="59">
        <f t="shared" si="14"/>
        <v>174</v>
      </c>
      <c r="L120" s="120">
        <f t="shared" si="15"/>
        <v>174</v>
      </c>
      <c r="M120" s="154"/>
      <c r="N120" s="160"/>
      <c r="O120" s="169"/>
      <c r="P120" s="169"/>
      <c r="Q120" s="169"/>
      <c r="R120" s="160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1"/>
    </row>
    <row r="121" spans="4:31" hidden="1" x14ac:dyDescent="0.25">
      <c r="D121" s="110"/>
      <c r="E121" s="55">
        <f t="shared" si="13"/>
        <v>86</v>
      </c>
      <c r="F121" s="56">
        <f t="shared" si="12"/>
        <v>0</v>
      </c>
      <c r="G121" s="57">
        <f t="shared" si="8"/>
        <v>0</v>
      </c>
      <c r="H121" s="58">
        <f t="shared" si="9"/>
        <v>0</v>
      </c>
      <c r="I121" s="57">
        <f t="shared" si="10"/>
        <v>0</v>
      </c>
      <c r="J121" s="59">
        <f t="shared" si="11"/>
        <v>0</v>
      </c>
      <c r="K121" s="59">
        <f t="shared" si="14"/>
        <v>174</v>
      </c>
      <c r="L121" s="120">
        <f t="shared" si="15"/>
        <v>174</v>
      </c>
      <c r="M121" s="154"/>
      <c r="N121" s="160"/>
      <c r="O121" s="169"/>
      <c r="P121" s="169"/>
      <c r="Q121" s="169"/>
      <c r="R121" s="160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1"/>
    </row>
    <row r="122" spans="4:31" hidden="1" x14ac:dyDescent="0.25">
      <c r="D122" s="110"/>
      <c r="E122" s="55">
        <f t="shared" si="13"/>
        <v>87</v>
      </c>
      <c r="F122" s="56">
        <f t="shared" si="12"/>
        <v>0</v>
      </c>
      <c r="G122" s="57">
        <f t="shared" si="8"/>
        <v>0</v>
      </c>
      <c r="H122" s="58">
        <f t="shared" si="9"/>
        <v>0</v>
      </c>
      <c r="I122" s="57">
        <f t="shared" si="10"/>
        <v>0</v>
      </c>
      <c r="J122" s="59">
        <f t="shared" si="11"/>
        <v>0</v>
      </c>
      <c r="K122" s="59">
        <f t="shared" si="14"/>
        <v>174</v>
      </c>
      <c r="L122" s="120">
        <f t="shared" si="15"/>
        <v>174</v>
      </c>
      <c r="M122" s="154"/>
      <c r="N122" s="160"/>
      <c r="O122" s="169"/>
      <c r="P122" s="169"/>
      <c r="Q122" s="169"/>
      <c r="R122" s="160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1"/>
    </row>
    <row r="123" spans="4:31" hidden="1" x14ac:dyDescent="0.25">
      <c r="D123" s="110"/>
      <c r="E123" s="55">
        <f t="shared" si="13"/>
        <v>88</v>
      </c>
      <c r="F123" s="56">
        <f t="shared" si="12"/>
        <v>0</v>
      </c>
      <c r="G123" s="57">
        <f t="shared" si="8"/>
        <v>0</v>
      </c>
      <c r="H123" s="58">
        <f t="shared" si="9"/>
        <v>0</v>
      </c>
      <c r="I123" s="57">
        <f t="shared" si="10"/>
        <v>0</v>
      </c>
      <c r="J123" s="59">
        <f t="shared" si="11"/>
        <v>0</v>
      </c>
      <c r="K123" s="59">
        <f t="shared" si="14"/>
        <v>174</v>
      </c>
      <c r="L123" s="120">
        <f t="shared" si="15"/>
        <v>174</v>
      </c>
      <c r="M123" s="154"/>
      <c r="N123" s="160"/>
      <c r="O123" s="169"/>
      <c r="P123" s="169"/>
      <c r="Q123" s="169"/>
      <c r="R123" s="160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1"/>
    </row>
    <row r="124" spans="4:31" hidden="1" x14ac:dyDescent="0.25">
      <c r="D124" s="110"/>
      <c r="E124" s="55">
        <f t="shared" si="13"/>
        <v>89</v>
      </c>
      <c r="F124" s="56">
        <f t="shared" si="12"/>
        <v>0</v>
      </c>
      <c r="G124" s="57">
        <f t="shared" si="8"/>
        <v>0</v>
      </c>
      <c r="H124" s="58">
        <f t="shared" si="9"/>
        <v>0</v>
      </c>
      <c r="I124" s="57">
        <f t="shared" si="10"/>
        <v>0</v>
      </c>
      <c r="J124" s="59">
        <f t="shared" si="11"/>
        <v>0</v>
      </c>
      <c r="K124" s="59">
        <f t="shared" si="14"/>
        <v>174</v>
      </c>
      <c r="L124" s="120">
        <f t="shared" si="15"/>
        <v>174</v>
      </c>
      <c r="M124" s="154"/>
      <c r="N124" s="160"/>
      <c r="O124" s="169"/>
      <c r="P124" s="169"/>
      <c r="Q124" s="169"/>
      <c r="R124" s="160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1"/>
    </row>
    <row r="125" spans="4:31" hidden="1" x14ac:dyDescent="0.25">
      <c r="D125" s="110"/>
      <c r="E125" s="55">
        <f t="shared" si="13"/>
        <v>90</v>
      </c>
      <c r="F125" s="56">
        <f t="shared" si="12"/>
        <v>0</v>
      </c>
      <c r="G125" s="57">
        <f t="shared" si="8"/>
        <v>0</v>
      </c>
      <c r="H125" s="58">
        <f t="shared" si="9"/>
        <v>0</v>
      </c>
      <c r="I125" s="57">
        <f t="shared" si="10"/>
        <v>0</v>
      </c>
      <c r="J125" s="59">
        <f t="shared" si="11"/>
        <v>0</v>
      </c>
      <c r="K125" s="59">
        <f t="shared" si="14"/>
        <v>174</v>
      </c>
      <c r="L125" s="120">
        <f t="shared" si="15"/>
        <v>174</v>
      </c>
      <c r="M125" s="154"/>
      <c r="N125" s="160"/>
      <c r="O125" s="169"/>
      <c r="P125" s="169"/>
      <c r="Q125" s="169"/>
      <c r="R125" s="160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1"/>
    </row>
    <row r="126" spans="4:31" hidden="1" x14ac:dyDescent="0.25">
      <c r="D126" s="110"/>
      <c r="E126" s="55">
        <f t="shared" si="13"/>
        <v>91</v>
      </c>
      <c r="F126" s="56">
        <f t="shared" si="12"/>
        <v>0</v>
      </c>
      <c r="G126" s="57">
        <f t="shared" si="8"/>
        <v>0</v>
      </c>
      <c r="H126" s="58">
        <f t="shared" si="9"/>
        <v>0</v>
      </c>
      <c r="I126" s="57">
        <f t="shared" si="10"/>
        <v>0</v>
      </c>
      <c r="J126" s="59">
        <f t="shared" si="11"/>
        <v>0</v>
      </c>
      <c r="K126" s="59">
        <f t="shared" si="14"/>
        <v>174</v>
      </c>
      <c r="L126" s="120">
        <f t="shared" si="15"/>
        <v>174</v>
      </c>
      <c r="M126" s="154"/>
      <c r="N126" s="160"/>
      <c r="O126" s="169"/>
      <c r="P126" s="169"/>
      <c r="Q126" s="169"/>
      <c r="R126" s="160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1"/>
    </row>
    <row r="127" spans="4:31" hidden="1" x14ac:dyDescent="0.25">
      <c r="D127" s="110"/>
      <c r="E127" s="55">
        <f t="shared" si="13"/>
        <v>92</v>
      </c>
      <c r="F127" s="56">
        <f t="shared" si="12"/>
        <v>0</v>
      </c>
      <c r="G127" s="57">
        <f t="shared" si="8"/>
        <v>0</v>
      </c>
      <c r="H127" s="58">
        <f t="shared" si="9"/>
        <v>0</v>
      </c>
      <c r="I127" s="57">
        <f t="shared" si="10"/>
        <v>0</v>
      </c>
      <c r="J127" s="59">
        <f t="shared" si="11"/>
        <v>0</v>
      </c>
      <c r="K127" s="59">
        <f t="shared" si="14"/>
        <v>174</v>
      </c>
      <c r="L127" s="120">
        <f t="shared" si="15"/>
        <v>174</v>
      </c>
      <c r="M127" s="154"/>
      <c r="N127" s="160"/>
      <c r="O127" s="169"/>
      <c r="P127" s="169"/>
      <c r="Q127" s="169"/>
      <c r="R127" s="160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1"/>
    </row>
    <row r="128" spans="4:31" hidden="1" x14ac:dyDescent="0.25">
      <c r="D128" s="110"/>
      <c r="E128" s="55">
        <f t="shared" si="13"/>
        <v>93</v>
      </c>
      <c r="F128" s="56">
        <f t="shared" si="12"/>
        <v>0</v>
      </c>
      <c r="G128" s="57">
        <f t="shared" si="8"/>
        <v>0</v>
      </c>
      <c r="H128" s="58">
        <f t="shared" si="9"/>
        <v>0</v>
      </c>
      <c r="I128" s="57">
        <f t="shared" si="10"/>
        <v>0</v>
      </c>
      <c r="J128" s="59">
        <f t="shared" si="11"/>
        <v>0</v>
      </c>
      <c r="K128" s="59">
        <f t="shared" si="14"/>
        <v>174</v>
      </c>
      <c r="L128" s="120">
        <f t="shared" si="15"/>
        <v>174</v>
      </c>
      <c r="M128" s="154"/>
      <c r="N128" s="160"/>
      <c r="O128" s="169"/>
      <c r="P128" s="169"/>
      <c r="Q128" s="169"/>
      <c r="R128" s="160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1"/>
    </row>
    <row r="129" spans="4:31" hidden="1" x14ac:dyDescent="0.25">
      <c r="D129" s="110"/>
      <c r="E129" s="55">
        <f t="shared" si="13"/>
        <v>94</v>
      </c>
      <c r="F129" s="56">
        <f t="shared" si="12"/>
        <v>0</v>
      </c>
      <c r="G129" s="57">
        <f t="shared" si="8"/>
        <v>0</v>
      </c>
      <c r="H129" s="58">
        <f t="shared" si="9"/>
        <v>0</v>
      </c>
      <c r="I129" s="57">
        <f t="shared" si="10"/>
        <v>0</v>
      </c>
      <c r="J129" s="59">
        <f t="shared" si="11"/>
        <v>0</v>
      </c>
      <c r="K129" s="59">
        <f t="shared" si="14"/>
        <v>174</v>
      </c>
      <c r="L129" s="120">
        <f t="shared" si="15"/>
        <v>174</v>
      </c>
      <c r="M129" s="154"/>
      <c r="N129" s="160"/>
      <c r="O129" s="169"/>
      <c r="P129" s="169"/>
      <c r="Q129" s="169"/>
      <c r="R129" s="160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1"/>
    </row>
    <row r="130" spans="4:31" hidden="1" x14ac:dyDescent="0.25">
      <c r="D130" s="110"/>
      <c r="E130" s="55">
        <f t="shared" si="13"/>
        <v>95</v>
      </c>
      <c r="F130" s="56">
        <f t="shared" si="12"/>
        <v>0</v>
      </c>
      <c r="G130" s="57">
        <f t="shared" si="8"/>
        <v>0</v>
      </c>
      <c r="H130" s="58">
        <f t="shared" si="9"/>
        <v>0</v>
      </c>
      <c r="I130" s="57">
        <f t="shared" si="10"/>
        <v>0</v>
      </c>
      <c r="J130" s="59">
        <f t="shared" si="11"/>
        <v>0</v>
      </c>
      <c r="K130" s="59">
        <f t="shared" si="14"/>
        <v>174</v>
      </c>
      <c r="L130" s="120">
        <f t="shared" si="15"/>
        <v>174</v>
      </c>
      <c r="M130" s="154"/>
      <c r="N130" s="160"/>
      <c r="O130" s="169"/>
      <c r="P130" s="169"/>
      <c r="Q130" s="169"/>
      <c r="R130" s="160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1"/>
    </row>
    <row r="131" spans="4:31" hidden="1" x14ac:dyDescent="0.25">
      <c r="D131" s="110"/>
      <c r="E131" s="55">
        <f t="shared" si="13"/>
        <v>96</v>
      </c>
      <c r="F131" s="56">
        <f t="shared" si="12"/>
        <v>0</v>
      </c>
      <c r="G131" s="57">
        <f t="shared" si="8"/>
        <v>0</v>
      </c>
      <c r="H131" s="58">
        <f t="shared" si="9"/>
        <v>0</v>
      </c>
      <c r="I131" s="57">
        <f t="shared" si="10"/>
        <v>0</v>
      </c>
      <c r="J131" s="59">
        <f t="shared" si="11"/>
        <v>0</v>
      </c>
      <c r="K131" s="59">
        <f t="shared" si="14"/>
        <v>174</v>
      </c>
      <c r="L131" s="120">
        <f t="shared" si="15"/>
        <v>174</v>
      </c>
      <c r="M131" s="154"/>
      <c r="N131" s="160"/>
      <c r="O131" s="169"/>
      <c r="P131" s="169"/>
      <c r="Q131" s="169"/>
      <c r="R131" s="160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1"/>
    </row>
    <row r="132" spans="4:31" hidden="1" x14ac:dyDescent="0.25">
      <c r="D132" s="110"/>
      <c r="E132" s="55">
        <f t="shared" si="13"/>
        <v>97</v>
      </c>
      <c r="F132" s="56">
        <f t="shared" si="12"/>
        <v>0</v>
      </c>
      <c r="G132" s="57">
        <f t="shared" si="8"/>
        <v>0</v>
      </c>
      <c r="H132" s="58">
        <f t="shared" si="9"/>
        <v>0</v>
      </c>
      <c r="I132" s="57">
        <f t="shared" si="10"/>
        <v>0</v>
      </c>
      <c r="J132" s="59">
        <f t="shared" si="11"/>
        <v>0</v>
      </c>
      <c r="K132" s="59">
        <f t="shared" si="14"/>
        <v>174</v>
      </c>
      <c r="L132" s="120">
        <f t="shared" si="15"/>
        <v>174</v>
      </c>
      <c r="M132" s="154"/>
      <c r="N132" s="160"/>
      <c r="O132" s="169"/>
      <c r="P132" s="169"/>
      <c r="Q132" s="169"/>
      <c r="R132" s="160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1"/>
    </row>
    <row r="133" spans="4:31" hidden="1" x14ac:dyDescent="0.25">
      <c r="D133" s="110"/>
      <c r="E133" s="55">
        <f t="shared" si="13"/>
        <v>98</v>
      </c>
      <c r="F133" s="56">
        <f t="shared" si="12"/>
        <v>0</v>
      </c>
      <c r="G133" s="57">
        <f t="shared" si="8"/>
        <v>0</v>
      </c>
      <c r="H133" s="58">
        <f t="shared" si="9"/>
        <v>0</v>
      </c>
      <c r="I133" s="57">
        <f t="shared" si="10"/>
        <v>0</v>
      </c>
      <c r="J133" s="59">
        <f t="shared" si="11"/>
        <v>0</v>
      </c>
      <c r="K133" s="59">
        <f t="shared" si="14"/>
        <v>174</v>
      </c>
      <c r="L133" s="120">
        <f t="shared" si="15"/>
        <v>174</v>
      </c>
      <c r="M133" s="154"/>
      <c r="N133" s="160"/>
      <c r="O133" s="169"/>
      <c r="P133" s="169"/>
      <c r="Q133" s="169"/>
      <c r="R133" s="160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1"/>
    </row>
    <row r="134" spans="4:31" hidden="1" x14ac:dyDescent="0.25">
      <c r="D134" s="110"/>
      <c r="E134" s="55">
        <f t="shared" si="13"/>
        <v>99</v>
      </c>
      <c r="F134" s="56">
        <f t="shared" si="12"/>
        <v>0</v>
      </c>
      <c r="G134" s="57">
        <f t="shared" si="8"/>
        <v>0</v>
      </c>
      <c r="H134" s="58">
        <f t="shared" si="9"/>
        <v>0</v>
      </c>
      <c r="I134" s="57">
        <f t="shared" si="10"/>
        <v>0</v>
      </c>
      <c r="J134" s="59">
        <f t="shared" si="11"/>
        <v>0</v>
      </c>
      <c r="K134" s="59">
        <f t="shared" si="14"/>
        <v>174</v>
      </c>
      <c r="L134" s="120">
        <f t="shared" si="15"/>
        <v>174</v>
      </c>
      <c r="M134" s="154"/>
      <c r="N134" s="160"/>
      <c r="O134" s="169"/>
      <c r="P134" s="169"/>
      <c r="Q134" s="169"/>
      <c r="R134" s="160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1"/>
    </row>
    <row r="135" spans="4:31" hidden="1" x14ac:dyDescent="0.25">
      <c r="D135" s="110"/>
      <c r="E135" s="55">
        <f t="shared" si="13"/>
        <v>100</v>
      </c>
      <c r="F135" s="56">
        <f t="shared" si="12"/>
        <v>0</v>
      </c>
      <c r="G135" s="57">
        <f t="shared" si="8"/>
        <v>0</v>
      </c>
      <c r="H135" s="58">
        <f t="shared" si="9"/>
        <v>0</v>
      </c>
      <c r="I135" s="57">
        <f t="shared" si="10"/>
        <v>0</v>
      </c>
      <c r="J135" s="59">
        <f t="shared" si="11"/>
        <v>0</v>
      </c>
      <c r="K135" s="59">
        <f t="shared" si="14"/>
        <v>174</v>
      </c>
      <c r="L135" s="120">
        <f t="shared" si="15"/>
        <v>174</v>
      </c>
      <c r="M135" s="154"/>
      <c r="N135" s="160"/>
      <c r="O135" s="169"/>
      <c r="P135" s="169"/>
      <c r="Q135" s="169"/>
      <c r="R135" s="160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1"/>
    </row>
    <row r="136" spans="4:31" hidden="1" x14ac:dyDescent="0.25">
      <c r="D136" s="110"/>
      <c r="E136" s="55">
        <f t="shared" si="13"/>
        <v>101</v>
      </c>
      <c r="F136" s="56">
        <f t="shared" si="12"/>
        <v>0</v>
      </c>
      <c r="G136" s="57">
        <f t="shared" si="8"/>
        <v>0</v>
      </c>
      <c r="H136" s="58">
        <f t="shared" si="9"/>
        <v>0</v>
      </c>
      <c r="I136" s="57">
        <f t="shared" si="10"/>
        <v>0</v>
      </c>
      <c r="J136" s="59">
        <f t="shared" si="11"/>
        <v>0</v>
      </c>
      <c r="K136" s="59">
        <f t="shared" si="14"/>
        <v>174</v>
      </c>
      <c r="L136" s="120">
        <f t="shared" si="15"/>
        <v>174</v>
      </c>
      <c r="M136" s="154"/>
      <c r="N136" s="160"/>
      <c r="O136" s="169"/>
      <c r="P136" s="169"/>
      <c r="Q136" s="169"/>
      <c r="R136" s="160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1"/>
    </row>
    <row r="137" spans="4:31" hidden="1" x14ac:dyDescent="0.25">
      <c r="D137" s="110"/>
      <c r="E137" s="55">
        <f t="shared" si="13"/>
        <v>102</v>
      </c>
      <c r="F137" s="56">
        <f t="shared" si="12"/>
        <v>0</v>
      </c>
      <c r="G137" s="57">
        <f t="shared" si="8"/>
        <v>0</v>
      </c>
      <c r="H137" s="58">
        <f t="shared" si="9"/>
        <v>0</v>
      </c>
      <c r="I137" s="57">
        <f t="shared" si="10"/>
        <v>0</v>
      </c>
      <c r="J137" s="59">
        <f t="shared" si="11"/>
        <v>0</v>
      </c>
      <c r="K137" s="59">
        <f t="shared" si="14"/>
        <v>174</v>
      </c>
      <c r="L137" s="120">
        <f t="shared" si="15"/>
        <v>174</v>
      </c>
      <c r="M137" s="154"/>
      <c r="N137" s="160"/>
      <c r="O137" s="169"/>
      <c r="P137" s="169"/>
      <c r="Q137" s="169"/>
      <c r="R137" s="160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1"/>
    </row>
    <row r="138" spans="4:31" hidden="1" x14ac:dyDescent="0.25">
      <c r="D138" s="110"/>
      <c r="E138" s="55">
        <f t="shared" si="13"/>
        <v>103</v>
      </c>
      <c r="F138" s="56">
        <f t="shared" si="12"/>
        <v>0</v>
      </c>
      <c r="G138" s="57">
        <f t="shared" si="8"/>
        <v>0</v>
      </c>
      <c r="H138" s="58">
        <f t="shared" si="9"/>
        <v>0</v>
      </c>
      <c r="I138" s="57">
        <f t="shared" si="10"/>
        <v>0</v>
      </c>
      <c r="J138" s="59">
        <f t="shared" si="11"/>
        <v>0</v>
      </c>
      <c r="K138" s="59">
        <f t="shared" si="14"/>
        <v>174</v>
      </c>
      <c r="L138" s="120">
        <f t="shared" si="15"/>
        <v>174</v>
      </c>
      <c r="M138" s="154"/>
      <c r="N138" s="160"/>
      <c r="O138" s="169"/>
      <c r="P138" s="169"/>
      <c r="Q138" s="169"/>
      <c r="R138" s="160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1"/>
    </row>
    <row r="139" spans="4:31" hidden="1" x14ac:dyDescent="0.25">
      <c r="D139" s="110"/>
      <c r="E139" s="55">
        <f t="shared" si="13"/>
        <v>104</v>
      </c>
      <c r="F139" s="56">
        <f t="shared" si="12"/>
        <v>0</v>
      </c>
      <c r="G139" s="57">
        <f t="shared" si="8"/>
        <v>0</v>
      </c>
      <c r="H139" s="58">
        <f t="shared" si="9"/>
        <v>0</v>
      </c>
      <c r="I139" s="57">
        <f t="shared" si="10"/>
        <v>0</v>
      </c>
      <c r="J139" s="59">
        <f t="shared" si="11"/>
        <v>0</v>
      </c>
      <c r="K139" s="59">
        <f t="shared" si="14"/>
        <v>174</v>
      </c>
      <c r="L139" s="120">
        <f t="shared" si="15"/>
        <v>174</v>
      </c>
      <c r="M139" s="154"/>
      <c r="N139" s="160"/>
      <c r="O139" s="169"/>
      <c r="P139" s="169"/>
      <c r="Q139" s="169"/>
      <c r="R139" s="160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1"/>
    </row>
    <row r="140" spans="4:31" hidden="1" x14ac:dyDescent="0.25">
      <c r="D140" s="110"/>
      <c r="E140" s="55">
        <f t="shared" si="13"/>
        <v>105</v>
      </c>
      <c r="F140" s="56">
        <f t="shared" si="12"/>
        <v>0</v>
      </c>
      <c r="G140" s="57">
        <f t="shared" si="8"/>
        <v>0</v>
      </c>
      <c r="H140" s="58">
        <f t="shared" si="9"/>
        <v>0</v>
      </c>
      <c r="I140" s="57">
        <f t="shared" si="10"/>
        <v>0</v>
      </c>
      <c r="J140" s="59">
        <f t="shared" si="11"/>
        <v>0</v>
      </c>
      <c r="K140" s="59">
        <f t="shared" si="14"/>
        <v>174</v>
      </c>
      <c r="L140" s="120">
        <f t="shared" si="15"/>
        <v>174</v>
      </c>
      <c r="M140" s="154"/>
      <c r="N140" s="160"/>
      <c r="O140" s="169"/>
      <c r="P140" s="169"/>
      <c r="Q140" s="169"/>
      <c r="R140" s="160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1"/>
    </row>
    <row r="141" spans="4:31" hidden="1" x14ac:dyDescent="0.25">
      <c r="D141" s="110"/>
      <c r="E141" s="55">
        <f t="shared" si="13"/>
        <v>106</v>
      </c>
      <c r="F141" s="56">
        <f t="shared" si="12"/>
        <v>0</v>
      </c>
      <c r="G141" s="57">
        <f t="shared" si="8"/>
        <v>0</v>
      </c>
      <c r="H141" s="58">
        <f t="shared" si="9"/>
        <v>0</v>
      </c>
      <c r="I141" s="57">
        <f t="shared" si="10"/>
        <v>0</v>
      </c>
      <c r="J141" s="59">
        <f t="shared" si="11"/>
        <v>0</v>
      </c>
      <c r="K141" s="59">
        <f t="shared" si="14"/>
        <v>174</v>
      </c>
      <c r="L141" s="120">
        <f t="shared" si="15"/>
        <v>174</v>
      </c>
      <c r="M141" s="154"/>
      <c r="N141" s="160"/>
      <c r="O141" s="169"/>
      <c r="P141" s="169"/>
      <c r="Q141" s="169"/>
      <c r="R141" s="160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1"/>
    </row>
    <row r="142" spans="4:31" hidden="1" x14ac:dyDescent="0.25">
      <c r="D142" s="110"/>
      <c r="E142" s="55">
        <f t="shared" si="13"/>
        <v>107</v>
      </c>
      <c r="F142" s="56">
        <f t="shared" si="12"/>
        <v>0</v>
      </c>
      <c r="G142" s="57">
        <f t="shared" si="8"/>
        <v>0</v>
      </c>
      <c r="H142" s="58">
        <f t="shared" si="9"/>
        <v>0</v>
      </c>
      <c r="I142" s="57">
        <f t="shared" si="10"/>
        <v>0</v>
      </c>
      <c r="J142" s="59">
        <f t="shared" si="11"/>
        <v>0</v>
      </c>
      <c r="K142" s="59">
        <f t="shared" si="14"/>
        <v>174</v>
      </c>
      <c r="L142" s="120">
        <f t="shared" si="15"/>
        <v>174</v>
      </c>
      <c r="M142" s="154"/>
      <c r="N142" s="160"/>
      <c r="O142" s="169"/>
      <c r="P142" s="169"/>
      <c r="Q142" s="169"/>
      <c r="R142" s="160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1"/>
    </row>
    <row r="143" spans="4:31" hidden="1" x14ac:dyDescent="0.25">
      <c r="D143" s="110"/>
      <c r="E143" s="55">
        <f t="shared" si="13"/>
        <v>108</v>
      </c>
      <c r="F143" s="56">
        <f t="shared" si="12"/>
        <v>0</v>
      </c>
      <c r="G143" s="57">
        <f t="shared" si="8"/>
        <v>0</v>
      </c>
      <c r="H143" s="58">
        <f t="shared" si="9"/>
        <v>0</v>
      </c>
      <c r="I143" s="57">
        <f t="shared" si="10"/>
        <v>0</v>
      </c>
      <c r="J143" s="59">
        <f t="shared" si="11"/>
        <v>0</v>
      </c>
      <c r="K143" s="59">
        <f t="shared" si="14"/>
        <v>174</v>
      </c>
      <c r="L143" s="120">
        <f t="shared" si="15"/>
        <v>174</v>
      </c>
      <c r="M143" s="154"/>
      <c r="N143" s="160"/>
      <c r="O143" s="169"/>
      <c r="P143" s="169"/>
      <c r="Q143" s="169"/>
      <c r="R143" s="160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1"/>
    </row>
    <row r="144" spans="4:31" hidden="1" x14ac:dyDescent="0.25">
      <c r="D144" s="110"/>
      <c r="E144" s="55">
        <f t="shared" si="13"/>
        <v>109</v>
      </c>
      <c r="F144" s="56">
        <f t="shared" si="12"/>
        <v>0</v>
      </c>
      <c r="G144" s="57">
        <f t="shared" si="8"/>
        <v>0</v>
      </c>
      <c r="H144" s="58">
        <f t="shared" si="9"/>
        <v>0</v>
      </c>
      <c r="I144" s="57">
        <f t="shared" si="10"/>
        <v>0</v>
      </c>
      <c r="J144" s="59">
        <f t="shared" si="11"/>
        <v>0</v>
      </c>
      <c r="K144" s="59">
        <f t="shared" si="14"/>
        <v>174</v>
      </c>
      <c r="L144" s="120">
        <f t="shared" si="15"/>
        <v>174</v>
      </c>
      <c r="M144" s="154"/>
      <c r="N144" s="160"/>
      <c r="O144" s="169"/>
      <c r="P144" s="169"/>
      <c r="Q144" s="169"/>
      <c r="R144" s="160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1"/>
    </row>
    <row r="145" spans="4:31" hidden="1" x14ac:dyDescent="0.25">
      <c r="D145" s="110"/>
      <c r="E145" s="55">
        <f t="shared" si="13"/>
        <v>110</v>
      </c>
      <c r="F145" s="56">
        <f t="shared" si="12"/>
        <v>0</v>
      </c>
      <c r="G145" s="57">
        <f t="shared" si="8"/>
        <v>0</v>
      </c>
      <c r="H145" s="58">
        <f t="shared" si="9"/>
        <v>0</v>
      </c>
      <c r="I145" s="57">
        <f t="shared" si="10"/>
        <v>0</v>
      </c>
      <c r="J145" s="59">
        <f t="shared" si="11"/>
        <v>0</v>
      </c>
      <c r="K145" s="59">
        <f t="shared" si="14"/>
        <v>174</v>
      </c>
      <c r="L145" s="120">
        <f t="shared" si="15"/>
        <v>174</v>
      </c>
      <c r="M145" s="154"/>
      <c r="N145" s="160"/>
      <c r="O145" s="169"/>
      <c r="P145" s="169"/>
      <c r="Q145" s="169"/>
      <c r="R145" s="160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1"/>
    </row>
    <row r="146" spans="4:31" hidden="1" x14ac:dyDescent="0.25">
      <c r="D146" s="110"/>
      <c r="E146" s="55">
        <f t="shared" si="13"/>
        <v>111</v>
      </c>
      <c r="F146" s="56">
        <f t="shared" si="12"/>
        <v>0</v>
      </c>
      <c r="G146" s="57">
        <f t="shared" si="8"/>
        <v>0</v>
      </c>
      <c r="H146" s="58">
        <f t="shared" si="9"/>
        <v>0</v>
      </c>
      <c r="I146" s="57">
        <f t="shared" si="10"/>
        <v>0</v>
      </c>
      <c r="J146" s="59">
        <f t="shared" si="11"/>
        <v>0</v>
      </c>
      <c r="K146" s="59">
        <f t="shared" si="14"/>
        <v>174</v>
      </c>
      <c r="L146" s="120">
        <f t="shared" si="15"/>
        <v>174</v>
      </c>
      <c r="M146" s="154"/>
      <c r="N146" s="160"/>
      <c r="O146" s="169"/>
      <c r="P146" s="169"/>
      <c r="Q146" s="169"/>
      <c r="R146" s="160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1"/>
    </row>
    <row r="147" spans="4:31" hidden="1" x14ac:dyDescent="0.25">
      <c r="D147" s="110"/>
      <c r="E147" s="55">
        <f t="shared" si="13"/>
        <v>112</v>
      </c>
      <c r="F147" s="56">
        <f t="shared" si="12"/>
        <v>0</v>
      </c>
      <c r="G147" s="57">
        <f t="shared" si="8"/>
        <v>0</v>
      </c>
      <c r="H147" s="58">
        <f t="shared" si="9"/>
        <v>0</v>
      </c>
      <c r="I147" s="57">
        <f t="shared" si="10"/>
        <v>0</v>
      </c>
      <c r="J147" s="59">
        <f t="shared" si="11"/>
        <v>0</v>
      </c>
      <c r="K147" s="59">
        <f t="shared" si="14"/>
        <v>174</v>
      </c>
      <c r="L147" s="120">
        <f t="shared" si="15"/>
        <v>174</v>
      </c>
      <c r="M147" s="154"/>
      <c r="N147" s="160"/>
      <c r="O147" s="169"/>
      <c r="P147" s="169"/>
      <c r="Q147" s="169"/>
      <c r="R147" s="160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1"/>
    </row>
    <row r="148" spans="4:31" hidden="1" x14ac:dyDescent="0.25">
      <c r="D148" s="110"/>
      <c r="E148" s="55">
        <f t="shared" si="13"/>
        <v>113</v>
      </c>
      <c r="F148" s="56">
        <f t="shared" si="12"/>
        <v>0</v>
      </c>
      <c r="G148" s="57">
        <f t="shared" si="8"/>
        <v>0</v>
      </c>
      <c r="H148" s="58">
        <f t="shared" si="9"/>
        <v>0</v>
      </c>
      <c r="I148" s="57">
        <f t="shared" si="10"/>
        <v>0</v>
      </c>
      <c r="J148" s="59">
        <f t="shared" si="11"/>
        <v>0</v>
      </c>
      <c r="K148" s="59">
        <f t="shared" si="14"/>
        <v>174</v>
      </c>
      <c r="L148" s="120">
        <f t="shared" si="15"/>
        <v>174</v>
      </c>
      <c r="M148" s="154"/>
      <c r="N148" s="160"/>
      <c r="O148" s="169"/>
      <c r="P148" s="169"/>
      <c r="Q148" s="169"/>
      <c r="R148" s="160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1"/>
    </row>
    <row r="149" spans="4:31" hidden="1" x14ac:dyDescent="0.25">
      <c r="D149" s="110"/>
      <c r="E149" s="55">
        <f t="shared" si="13"/>
        <v>114</v>
      </c>
      <c r="F149" s="56">
        <f t="shared" si="12"/>
        <v>0</v>
      </c>
      <c r="G149" s="57">
        <f t="shared" si="8"/>
        <v>0</v>
      </c>
      <c r="H149" s="58">
        <f t="shared" si="9"/>
        <v>0</v>
      </c>
      <c r="I149" s="57">
        <f t="shared" si="10"/>
        <v>0</v>
      </c>
      <c r="J149" s="59">
        <f t="shared" si="11"/>
        <v>0</v>
      </c>
      <c r="K149" s="59">
        <f t="shared" si="14"/>
        <v>174</v>
      </c>
      <c r="L149" s="120">
        <f t="shared" si="15"/>
        <v>174</v>
      </c>
      <c r="M149" s="154"/>
      <c r="N149" s="160"/>
      <c r="O149" s="169"/>
      <c r="P149" s="169"/>
      <c r="Q149" s="169"/>
      <c r="R149" s="160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1"/>
    </row>
    <row r="150" spans="4:31" hidden="1" x14ac:dyDescent="0.25">
      <c r="D150" s="110"/>
      <c r="E150" s="55">
        <f t="shared" si="13"/>
        <v>115</v>
      </c>
      <c r="F150" s="56">
        <f t="shared" si="12"/>
        <v>0</v>
      </c>
      <c r="G150" s="57">
        <f t="shared" si="8"/>
        <v>0</v>
      </c>
      <c r="H150" s="58">
        <f t="shared" si="9"/>
        <v>0</v>
      </c>
      <c r="I150" s="57">
        <f t="shared" si="10"/>
        <v>0</v>
      </c>
      <c r="J150" s="59">
        <f t="shared" si="11"/>
        <v>0</v>
      </c>
      <c r="K150" s="59">
        <f t="shared" si="14"/>
        <v>174</v>
      </c>
      <c r="L150" s="120">
        <f t="shared" si="15"/>
        <v>174</v>
      </c>
      <c r="M150" s="154"/>
      <c r="N150" s="160"/>
      <c r="O150" s="169"/>
      <c r="P150" s="169"/>
      <c r="Q150" s="169"/>
      <c r="R150" s="160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1"/>
    </row>
    <row r="151" spans="4:31" hidden="1" x14ac:dyDescent="0.25">
      <c r="D151" s="110"/>
      <c r="E151" s="55">
        <f t="shared" si="13"/>
        <v>116</v>
      </c>
      <c r="F151" s="56">
        <f t="shared" si="12"/>
        <v>0</v>
      </c>
      <c r="G151" s="57">
        <f t="shared" si="8"/>
        <v>0</v>
      </c>
      <c r="H151" s="58">
        <f t="shared" si="9"/>
        <v>0</v>
      </c>
      <c r="I151" s="57">
        <f t="shared" si="10"/>
        <v>0</v>
      </c>
      <c r="J151" s="59">
        <f t="shared" si="11"/>
        <v>0</v>
      </c>
      <c r="K151" s="59">
        <f t="shared" si="14"/>
        <v>174</v>
      </c>
      <c r="L151" s="120">
        <f t="shared" si="15"/>
        <v>174</v>
      </c>
      <c r="M151" s="154"/>
      <c r="N151" s="160"/>
      <c r="O151" s="169"/>
      <c r="P151" s="169"/>
      <c r="Q151" s="169"/>
      <c r="R151" s="160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1"/>
    </row>
    <row r="152" spans="4:31" hidden="1" x14ac:dyDescent="0.25">
      <c r="D152" s="110"/>
      <c r="E152" s="55">
        <f t="shared" si="13"/>
        <v>117</v>
      </c>
      <c r="F152" s="56">
        <f t="shared" si="12"/>
        <v>0</v>
      </c>
      <c r="G152" s="57">
        <f t="shared" si="8"/>
        <v>0</v>
      </c>
      <c r="H152" s="58">
        <f t="shared" si="9"/>
        <v>0</v>
      </c>
      <c r="I152" s="57">
        <f t="shared" si="10"/>
        <v>0</v>
      </c>
      <c r="J152" s="59">
        <f t="shared" si="11"/>
        <v>0</v>
      </c>
      <c r="K152" s="59">
        <f t="shared" si="14"/>
        <v>174</v>
      </c>
      <c r="L152" s="120">
        <f t="shared" si="15"/>
        <v>174</v>
      </c>
      <c r="M152" s="154"/>
      <c r="N152" s="160"/>
      <c r="O152" s="169"/>
      <c r="P152" s="169"/>
      <c r="Q152" s="169"/>
      <c r="R152" s="160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1"/>
    </row>
    <row r="153" spans="4:31" hidden="1" x14ac:dyDescent="0.25">
      <c r="D153" s="110"/>
      <c r="E153" s="55">
        <f t="shared" si="13"/>
        <v>118</v>
      </c>
      <c r="F153" s="56">
        <f t="shared" si="12"/>
        <v>0</v>
      </c>
      <c r="G153" s="57">
        <f t="shared" si="8"/>
        <v>0</v>
      </c>
      <c r="H153" s="58">
        <f t="shared" si="9"/>
        <v>0</v>
      </c>
      <c r="I153" s="57">
        <f t="shared" si="10"/>
        <v>0</v>
      </c>
      <c r="J153" s="59">
        <f t="shared" si="11"/>
        <v>0</v>
      </c>
      <c r="K153" s="59">
        <f t="shared" si="14"/>
        <v>174</v>
      </c>
      <c r="L153" s="120">
        <f t="shared" si="15"/>
        <v>174</v>
      </c>
      <c r="M153" s="154"/>
      <c r="N153" s="160"/>
      <c r="O153" s="169"/>
      <c r="P153" s="169"/>
      <c r="Q153" s="169"/>
      <c r="R153" s="160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1"/>
    </row>
    <row r="154" spans="4:31" hidden="1" x14ac:dyDescent="0.25">
      <c r="D154" s="110"/>
      <c r="E154" s="55">
        <f t="shared" si="13"/>
        <v>119</v>
      </c>
      <c r="F154" s="56">
        <f t="shared" si="12"/>
        <v>0</v>
      </c>
      <c r="G154" s="57">
        <f t="shared" si="8"/>
        <v>0</v>
      </c>
      <c r="H154" s="58">
        <f t="shared" si="9"/>
        <v>0</v>
      </c>
      <c r="I154" s="57">
        <f t="shared" si="10"/>
        <v>0</v>
      </c>
      <c r="J154" s="59">
        <f t="shared" si="11"/>
        <v>0</v>
      </c>
      <c r="K154" s="59">
        <f t="shared" si="14"/>
        <v>174</v>
      </c>
      <c r="L154" s="120">
        <f t="shared" si="15"/>
        <v>174</v>
      </c>
      <c r="M154" s="154"/>
      <c r="N154" s="160"/>
      <c r="O154" s="169"/>
      <c r="P154" s="169"/>
      <c r="Q154" s="169"/>
      <c r="R154" s="160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1"/>
    </row>
    <row r="155" spans="4:31" hidden="1" x14ac:dyDescent="0.25">
      <c r="D155" s="110"/>
      <c r="E155" s="55">
        <f t="shared" si="13"/>
        <v>120</v>
      </c>
      <c r="F155" s="56">
        <f t="shared" si="12"/>
        <v>0</v>
      </c>
      <c r="G155" s="57">
        <f t="shared" si="8"/>
        <v>0</v>
      </c>
      <c r="H155" s="58">
        <f t="shared" si="9"/>
        <v>0</v>
      </c>
      <c r="I155" s="57">
        <f t="shared" si="10"/>
        <v>0</v>
      </c>
      <c r="J155" s="59">
        <f t="shared" si="11"/>
        <v>0</v>
      </c>
      <c r="K155" s="59">
        <f t="shared" si="14"/>
        <v>174</v>
      </c>
      <c r="L155" s="120">
        <f t="shared" si="15"/>
        <v>174</v>
      </c>
      <c r="M155" s="154"/>
      <c r="N155" s="160"/>
      <c r="O155" s="169"/>
      <c r="P155" s="169"/>
      <c r="Q155" s="169"/>
      <c r="R155" s="160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1"/>
    </row>
    <row r="156" spans="4:31" hidden="1" x14ac:dyDescent="0.25">
      <c r="D156" s="110"/>
      <c r="E156" s="55">
        <f t="shared" si="13"/>
        <v>121</v>
      </c>
      <c r="F156" s="56">
        <f t="shared" si="12"/>
        <v>0</v>
      </c>
      <c r="G156" s="57">
        <f t="shared" si="8"/>
        <v>0</v>
      </c>
      <c r="H156" s="58">
        <f t="shared" si="9"/>
        <v>0</v>
      </c>
      <c r="I156" s="57">
        <f t="shared" si="10"/>
        <v>0</v>
      </c>
      <c r="J156" s="59">
        <f t="shared" si="11"/>
        <v>0</v>
      </c>
      <c r="K156" s="59">
        <f t="shared" si="14"/>
        <v>174</v>
      </c>
      <c r="L156" s="120">
        <f t="shared" ref="L156:L219" si="16">+I156+J156+K156</f>
        <v>174</v>
      </c>
      <c r="M156" s="154"/>
      <c r="N156" s="160"/>
      <c r="O156" s="169"/>
      <c r="P156" s="169"/>
      <c r="Q156" s="169"/>
      <c r="R156" s="160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1"/>
    </row>
    <row r="157" spans="4:31" hidden="1" x14ac:dyDescent="0.25">
      <c r="D157" s="110"/>
      <c r="E157" s="55">
        <f t="shared" si="13"/>
        <v>122</v>
      </c>
      <c r="F157" s="56">
        <f t="shared" si="12"/>
        <v>0</v>
      </c>
      <c r="G157" s="57">
        <f t="shared" si="8"/>
        <v>0</v>
      </c>
      <c r="H157" s="58">
        <f t="shared" si="9"/>
        <v>0</v>
      </c>
      <c r="I157" s="57">
        <f t="shared" si="10"/>
        <v>0</v>
      </c>
      <c r="J157" s="59">
        <f t="shared" si="11"/>
        <v>0</v>
      </c>
      <c r="K157" s="59">
        <f t="shared" si="14"/>
        <v>174</v>
      </c>
      <c r="L157" s="120">
        <f t="shared" si="16"/>
        <v>174</v>
      </c>
      <c r="M157" s="154"/>
      <c r="N157" s="160"/>
      <c r="O157" s="169"/>
      <c r="P157" s="169"/>
      <c r="Q157" s="169"/>
      <c r="R157" s="160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1"/>
    </row>
    <row r="158" spans="4:31" hidden="1" x14ac:dyDescent="0.25">
      <c r="D158" s="110"/>
      <c r="E158" s="55">
        <f t="shared" si="13"/>
        <v>123</v>
      </c>
      <c r="F158" s="56">
        <f t="shared" si="12"/>
        <v>0</v>
      </c>
      <c r="G158" s="57">
        <f t="shared" si="8"/>
        <v>0</v>
      </c>
      <c r="H158" s="58">
        <f t="shared" si="9"/>
        <v>0</v>
      </c>
      <c r="I158" s="57">
        <f t="shared" si="10"/>
        <v>0</v>
      </c>
      <c r="J158" s="59">
        <f t="shared" si="11"/>
        <v>0</v>
      </c>
      <c r="K158" s="59">
        <f t="shared" si="14"/>
        <v>174</v>
      </c>
      <c r="L158" s="120">
        <f t="shared" si="16"/>
        <v>174</v>
      </c>
      <c r="M158" s="154"/>
      <c r="N158" s="160"/>
      <c r="O158" s="169"/>
      <c r="P158" s="169"/>
      <c r="Q158" s="169"/>
      <c r="R158" s="160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1"/>
    </row>
    <row r="159" spans="4:31" hidden="1" x14ac:dyDescent="0.25">
      <c r="D159" s="110"/>
      <c r="E159" s="55">
        <f t="shared" si="13"/>
        <v>124</v>
      </c>
      <c r="F159" s="56">
        <f t="shared" si="12"/>
        <v>0</v>
      </c>
      <c r="G159" s="57">
        <f t="shared" si="8"/>
        <v>0</v>
      </c>
      <c r="H159" s="58">
        <f t="shared" si="9"/>
        <v>0</v>
      </c>
      <c r="I159" s="57">
        <f t="shared" si="10"/>
        <v>0</v>
      </c>
      <c r="J159" s="59">
        <f t="shared" si="11"/>
        <v>0</v>
      </c>
      <c r="K159" s="59">
        <f t="shared" si="14"/>
        <v>174</v>
      </c>
      <c r="L159" s="120">
        <f t="shared" si="16"/>
        <v>174</v>
      </c>
      <c r="M159" s="154"/>
      <c r="N159" s="160"/>
      <c r="O159" s="169"/>
      <c r="P159" s="169"/>
      <c r="Q159" s="169"/>
      <c r="R159" s="160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1"/>
    </row>
    <row r="160" spans="4:31" hidden="1" x14ac:dyDescent="0.25">
      <c r="D160" s="110"/>
      <c r="E160" s="55">
        <f t="shared" si="13"/>
        <v>125</v>
      </c>
      <c r="F160" s="56">
        <f t="shared" si="12"/>
        <v>0</v>
      </c>
      <c r="G160" s="57">
        <f t="shared" si="8"/>
        <v>0</v>
      </c>
      <c r="H160" s="58">
        <f t="shared" si="9"/>
        <v>0</v>
      </c>
      <c r="I160" s="57">
        <f t="shared" si="10"/>
        <v>0</v>
      </c>
      <c r="J160" s="59">
        <f t="shared" si="11"/>
        <v>0</v>
      </c>
      <c r="K160" s="59">
        <f t="shared" si="14"/>
        <v>174</v>
      </c>
      <c r="L160" s="120">
        <f t="shared" si="16"/>
        <v>174</v>
      </c>
      <c r="M160" s="154"/>
      <c r="N160" s="160"/>
      <c r="O160" s="169"/>
      <c r="P160" s="169"/>
      <c r="Q160" s="169"/>
      <c r="R160" s="160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1"/>
    </row>
    <row r="161" spans="4:31" hidden="1" x14ac:dyDescent="0.25">
      <c r="D161" s="110"/>
      <c r="E161" s="55">
        <f t="shared" si="13"/>
        <v>126</v>
      </c>
      <c r="F161" s="56">
        <f t="shared" si="12"/>
        <v>0</v>
      </c>
      <c r="G161" s="57">
        <f t="shared" si="8"/>
        <v>0</v>
      </c>
      <c r="H161" s="58">
        <f t="shared" si="9"/>
        <v>0</v>
      </c>
      <c r="I161" s="57">
        <f t="shared" si="10"/>
        <v>0</v>
      </c>
      <c r="J161" s="59">
        <f t="shared" si="11"/>
        <v>0</v>
      </c>
      <c r="K161" s="59">
        <f t="shared" si="14"/>
        <v>174</v>
      </c>
      <c r="L161" s="120">
        <f t="shared" si="16"/>
        <v>174</v>
      </c>
      <c r="M161" s="154"/>
      <c r="N161" s="160"/>
      <c r="O161" s="169"/>
      <c r="P161" s="169"/>
      <c r="Q161" s="169"/>
      <c r="R161" s="160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1"/>
    </row>
    <row r="162" spans="4:31" hidden="1" x14ac:dyDescent="0.25">
      <c r="D162" s="110"/>
      <c r="E162" s="55">
        <f t="shared" si="13"/>
        <v>127</v>
      </c>
      <c r="F162" s="56">
        <f t="shared" si="12"/>
        <v>0</v>
      </c>
      <c r="G162" s="57">
        <f t="shared" si="8"/>
        <v>0</v>
      </c>
      <c r="H162" s="58">
        <f t="shared" si="9"/>
        <v>0</v>
      </c>
      <c r="I162" s="57">
        <f t="shared" si="10"/>
        <v>0</v>
      </c>
      <c r="J162" s="59">
        <f t="shared" si="11"/>
        <v>0</v>
      </c>
      <c r="K162" s="59">
        <f t="shared" si="14"/>
        <v>174</v>
      </c>
      <c r="L162" s="120">
        <f t="shared" si="16"/>
        <v>174</v>
      </c>
      <c r="M162" s="154"/>
      <c r="N162" s="160"/>
      <c r="O162" s="169"/>
      <c r="P162" s="169"/>
      <c r="Q162" s="169"/>
      <c r="R162" s="160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1"/>
    </row>
    <row r="163" spans="4:31" hidden="1" x14ac:dyDescent="0.25">
      <c r="D163" s="110"/>
      <c r="E163" s="55">
        <f t="shared" si="13"/>
        <v>128</v>
      </c>
      <c r="F163" s="56">
        <f t="shared" si="12"/>
        <v>0</v>
      </c>
      <c r="G163" s="57">
        <f t="shared" si="8"/>
        <v>0</v>
      </c>
      <c r="H163" s="58">
        <f t="shared" si="9"/>
        <v>0</v>
      </c>
      <c r="I163" s="57">
        <f t="shared" si="10"/>
        <v>0</v>
      </c>
      <c r="J163" s="59">
        <f t="shared" si="11"/>
        <v>0</v>
      </c>
      <c r="K163" s="59">
        <f t="shared" si="14"/>
        <v>174</v>
      </c>
      <c r="L163" s="120">
        <f t="shared" si="16"/>
        <v>174</v>
      </c>
      <c r="M163" s="154"/>
      <c r="N163" s="160"/>
      <c r="O163" s="169"/>
      <c r="P163" s="169"/>
      <c r="Q163" s="169"/>
      <c r="R163" s="160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1"/>
    </row>
    <row r="164" spans="4:31" hidden="1" x14ac:dyDescent="0.25">
      <c r="D164" s="110"/>
      <c r="E164" s="55">
        <f t="shared" si="13"/>
        <v>129</v>
      </c>
      <c r="F164" s="56">
        <f t="shared" si="12"/>
        <v>0</v>
      </c>
      <c r="G164" s="57">
        <f t="shared" ref="G164:G227" si="17">+F164*$G$19/12</f>
        <v>0</v>
      </c>
      <c r="H164" s="58">
        <f t="shared" ref="H164:H227" si="18">+IF(E164&lt;=($G$18*12),$H$35-G164,0)</f>
        <v>0</v>
      </c>
      <c r="I164" s="57">
        <f t="shared" ref="I164:I227" si="19">+H164+G164</f>
        <v>0</v>
      </c>
      <c r="J164" s="59">
        <f t="shared" ref="J164:J227" si="20">+F164/1000*$J$33</f>
        <v>0</v>
      </c>
      <c r="K164" s="59">
        <f t="shared" si="14"/>
        <v>174</v>
      </c>
      <c r="L164" s="120">
        <f t="shared" si="16"/>
        <v>174</v>
      </c>
      <c r="M164" s="154"/>
      <c r="N164" s="160"/>
      <c r="O164" s="169"/>
      <c r="P164" s="169"/>
      <c r="Q164" s="169"/>
      <c r="R164" s="160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1"/>
    </row>
    <row r="165" spans="4:31" hidden="1" x14ac:dyDescent="0.25">
      <c r="D165" s="110"/>
      <c r="E165" s="55">
        <f t="shared" si="13"/>
        <v>130</v>
      </c>
      <c r="F165" s="56">
        <f t="shared" ref="F165:F228" si="21">IF(F164-H164&gt;0.01,F164-H164,0)</f>
        <v>0</v>
      </c>
      <c r="G165" s="57">
        <f t="shared" si="17"/>
        <v>0</v>
      </c>
      <c r="H165" s="58">
        <f t="shared" si="18"/>
        <v>0</v>
      </c>
      <c r="I165" s="57">
        <f t="shared" si="19"/>
        <v>0</v>
      </c>
      <c r="J165" s="59">
        <f t="shared" si="20"/>
        <v>0</v>
      </c>
      <c r="K165" s="59">
        <f t="shared" si="14"/>
        <v>174</v>
      </c>
      <c r="L165" s="120">
        <f t="shared" si="16"/>
        <v>174</v>
      </c>
      <c r="M165" s="154"/>
      <c r="N165" s="160"/>
      <c r="O165" s="169"/>
      <c r="P165" s="169"/>
      <c r="Q165" s="169"/>
      <c r="R165" s="160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1"/>
    </row>
    <row r="166" spans="4:31" hidden="1" x14ac:dyDescent="0.25">
      <c r="D166" s="110"/>
      <c r="E166" s="55">
        <f t="shared" ref="E166:E229" si="22">+E165+1</f>
        <v>131</v>
      </c>
      <c r="F166" s="56">
        <f t="shared" si="21"/>
        <v>0</v>
      </c>
      <c r="G166" s="57">
        <f t="shared" si="17"/>
        <v>0</v>
      </c>
      <c r="H166" s="58">
        <f t="shared" si="18"/>
        <v>0</v>
      </c>
      <c r="I166" s="57">
        <f t="shared" si="19"/>
        <v>0</v>
      </c>
      <c r="J166" s="59">
        <f t="shared" si="20"/>
        <v>0</v>
      </c>
      <c r="K166" s="59">
        <f t="shared" ref="K166:K229" si="23">+IF(E166&lt;=($G$18*12),($E$22*0.6)/1000*$K$33,0)</f>
        <v>174</v>
      </c>
      <c r="L166" s="120">
        <f t="shared" si="16"/>
        <v>174</v>
      </c>
      <c r="M166" s="154"/>
      <c r="N166" s="160"/>
      <c r="O166" s="169"/>
      <c r="P166" s="169"/>
      <c r="Q166" s="169"/>
      <c r="R166" s="160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1"/>
    </row>
    <row r="167" spans="4:31" hidden="1" x14ac:dyDescent="0.25">
      <c r="D167" s="110"/>
      <c r="E167" s="55">
        <f t="shared" si="22"/>
        <v>132</v>
      </c>
      <c r="F167" s="56">
        <f t="shared" si="21"/>
        <v>0</v>
      </c>
      <c r="G167" s="57">
        <f t="shared" si="17"/>
        <v>0</v>
      </c>
      <c r="H167" s="58">
        <f t="shared" si="18"/>
        <v>0</v>
      </c>
      <c r="I167" s="57">
        <f t="shared" si="19"/>
        <v>0</v>
      </c>
      <c r="J167" s="59">
        <f t="shared" si="20"/>
        <v>0</v>
      </c>
      <c r="K167" s="59">
        <f t="shared" si="23"/>
        <v>174</v>
      </c>
      <c r="L167" s="120">
        <f t="shared" si="16"/>
        <v>174</v>
      </c>
      <c r="M167" s="154"/>
      <c r="N167" s="160"/>
      <c r="O167" s="169"/>
      <c r="P167" s="169"/>
      <c r="Q167" s="169"/>
      <c r="R167" s="160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1"/>
    </row>
    <row r="168" spans="4:31" hidden="1" x14ac:dyDescent="0.25">
      <c r="D168" s="110"/>
      <c r="E168" s="55">
        <f t="shared" si="22"/>
        <v>133</v>
      </c>
      <c r="F168" s="56">
        <f t="shared" si="21"/>
        <v>0</v>
      </c>
      <c r="G168" s="57">
        <f t="shared" si="17"/>
        <v>0</v>
      </c>
      <c r="H168" s="58">
        <f t="shared" si="18"/>
        <v>0</v>
      </c>
      <c r="I168" s="57">
        <f t="shared" si="19"/>
        <v>0</v>
      </c>
      <c r="J168" s="59">
        <f t="shared" si="20"/>
        <v>0</v>
      </c>
      <c r="K168" s="59">
        <f t="shared" si="23"/>
        <v>174</v>
      </c>
      <c r="L168" s="120">
        <f t="shared" si="16"/>
        <v>174</v>
      </c>
      <c r="M168" s="154"/>
      <c r="N168" s="160"/>
      <c r="O168" s="169"/>
      <c r="P168" s="169"/>
      <c r="Q168" s="169"/>
      <c r="R168" s="160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1"/>
    </row>
    <row r="169" spans="4:31" hidden="1" x14ac:dyDescent="0.25">
      <c r="D169" s="110"/>
      <c r="E169" s="55">
        <f t="shared" si="22"/>
        <v>134</v>
      </c>
      <c r="F169" s="56">
        <f t="shared" si="21"/>
        <v>0</v>
      </c>
      <c r="G169" s="57">
        <f t="shared" si="17"/>
        <v>0</v>
      </c>
      <c r="H169" s="58">
        <f t="shared" si="18"/>
        <v>0</v>
      </c>
      <c r="I169" s="57">
        <f t="shared" si="19"/>
        <v>0</v>
      </c>
      <c r="J169" s="59">
        <f t="shared" si="20"/>
        <v>0</v>
      </c>
      <c r="K169" s="59">
        <f t="shared" si="23"/>
        <v>174</v>
      </c>
      <c r="L169" s="120">
        <f t="shared" si="16"/>
        <v>174</v>
      </c>
      <c r="M169" s="154"/>
      <c r="N169" s="160"/>
      <c r="O169" s="169"/>
      <c r="P169" s="169"/>
      <c r="Q169" s="169"/>
      <c r="R169" s="160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1"/>
    </row>
    <row r="170" spans="4:31" hidden="1" x14ac:dyDescent="0.25">
      <c r="D170" s="110"/>
      <c r="E170" s="55">
        <f t="shared" si="22"/>
        <v>135</v>
      </c>
      <c r="F170" s="56">
        <f t="shared" si="21"/>
        <v>0</v>
      </c>
      <c r="G170" s="57">
        <f t="shared" si="17"/>
        <v>0</v>
      </c>
      <c r="H170" s="58">
        <f t="shared" si="18"/>
        <v>0</v>
      </c>
      <c r="I170" s="57">
        <f t="shared" si="19"/>
        <v>0</v>
      </c>
      <c r="J170" s="59">
        <f t="shared" si="20"/>
        <v>0</v>
      </c>
      <c r="K170" s="59">
        <f t="shared" si="23"/>
        <v>174</v>
      </c>
      <c r="L170" s="120">
        <f t="shared" si="16"/>
        <v>174</v>
      </c>
      <c r="M170" s="154"/>
      <c r="N170" s="160"/>
      <c r="O170" s="169"/>
      <c r="P170" s="169"/>
      <c r="Q170" s="169"/>
      <c r="R170" s="160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1"/>
    </row>
    <row r="171" spans="4:31" hidden="1" x14ac:dyDescent="0.25">
      <c r="D171" s="110"/>
      <c r="E171" s="55">
        <f t="shared" si="22"/>
        <v>136</v>
      </c>
      <c r="F171" s="56">
        <f t="shared" si="21"/>
        <v>0</v>
      </c>
      <c r="G171" s="57">
        <f t="shared" si="17"/>
        <v>0</v>
      </c>
      <c r="H171" s="58">
        <f t="shared" si="18"/>
        <v>0</v>
      </c>
      <c r="I171" s="57">
        <f t="shared" si="19"/>
        <v>0</v>
      </c>
      <c r="J171" s="59">
        <f t="shared" si="20"/>
        <v>0</v>
      </c>
      <c r="K171" s="59">
        <f t="shared" si="23"/>
        <v>174</v>
      </c>
      <c r="L171" s="120">
        <f t="shared" si="16"/>
        <v>174</v>
      </c>
      <c r="M171" s="154"/>
      <c r="N171" s="160"/>
      <c r="O171" s="169"/>
      <c r="P171" s="169"/>
      <c r="Q171" s="169"/>
      <c r="R171" s="160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1"/>
    </row>
    <row r="172" spans="4:31" hidden="1" x14ac:dyDescent="0.25">
      <c r="D172" s="110"/>
      <c r="E172" s="55">
        <f t="shared" si="22"/>
        <v>137</v>
      </c>
      <c r="F172" s="56">
        <f t="shared" si="21"/>
        <v>0</v>
      </c>
      <c r="G172" s="57">
        <f t="shared" si="17"/>
        <v>0</v>
      </c>
      <c r="H172" s="58">
        <f t="shared" si="18"/>
        <v>0</v>
      </c>
      <c r="I172" s="57">
        <f t="shared" si="19"/>
        <v>0</v>
      </c>
      <c r="J172" s="59">
        <f t="shared" si="20"/>
        <v>0</v>
      </c>
      <c r="K172" s="59">
        <f t="shared" si="23"/>
        <v>174</v>
      </c>
      <c r="L172" s="120">
        <f t="shared" si="16"/>
        <v>174</v>
      </c>
      <c r="M172" s="154"/>
      <c r="N172" s="160"/>
      <c r="O172" s="169"/>
      <c r="P172" s="169"/>
      <c r="Q172" s="169"/>
      <c r="R172" s="160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1"/>
    </row>
    <row r="173" spans="4:31" hidden="1" x14ac:dyDescent="0.25">
      <c r="D173" s="110"/>
      <c r="E173" s="55">
        <f t="shared" si="22"/>
        <v>138</v>
      </c>
      <c r="F173" s="56">
        <f t="shared" si="21"/>
        <v>0</v>
      </c>
      <c r="G173" s="57">
        <f t="shared" si="17"/>
        <v>0</v>
      </c>
      <c r="H173" s="58">
        <f t="shared" si="18"/>
        <v>0</v>
      </c>
      <c r="I173" s="57">
        <f t="shared" si="19"/>
        <v>0</v>
      </c>
      <c r="J173" s="59">
        <f t="shared" si="20"/>
        <v>0</v>
      </c>
      <c r="K173" s="59">
        <f t="shared" si="23"/>
        <v>174</v>
      </c>
      <c r="L173" s="120">
        <f t="shared" si="16"/>
        <v>174</v>
      </c>
      <c r="M173" s="154"/>
      <c r="N173" s="160"/>
      <c r="O173" s="169"/>
      <c r="P173" s="169"/>
      <c r="Q173" s="169"/>
      <c r="R173" s="160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1"/>
    </row>
    <row r="174" spans="4:31" hidden="1" x14ac:dyDescent="0.25">
      <c r="D174" s="110"/>
      <c r="E174" s="55">
        <f t="shared" si="22"/>
        <v>139</v>
      </c>
      <c r="F174" s="56">
        <f t="shared" si="21"/>
        <v>0</v>
      </c>
      <c r="G174" s="57">
        <f t="shared" si="17"/>
        <v>0</v>
      </c>
      <c r="H174" s="58">
        <f t="shared" si="18"/>
        <v>0</v>
      </c>
      <c r="I174" s="57">
        <f t="shared" si="19"/>
        <v>0</v>
      </c>
      <c r="J174" s="59">
        <f t="shared" si="20"/>
        <v>0</v>
      </c>
      <c r="K174" s="59">
        <f t="shared" si="23"/>
        <v>174</v>
      </c>
      <c r="L174" s="120">
        <f t="shared" si="16"/>
        <v>174</v>
      </c>
      <c r="M174" s="154"/>
      <c r="N174" s="160"/>
      <c r="O174" s="169"/>
      <c r="P174" s="169"/>
      <c r="Q174" s="169"/>
      <c r="R174" s="160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1"/>
    </row>
    <row r="175" spans="4:31" hidden="1" x14ac:dyDescent="0.25">
      <c r="D175" s="110"/>
      <c r="E175" s="55">
        <f t="shared" si="22"/>
        <v>140</v>
      </c>
      <c r="F175" s="56">
        <f t="shared" si="21"/>
        <v>0</v>
      </c>
      <c r="G175" s="57">
        <f t="shared" si="17"/>
        <v>0</v>
      </c>
      <c r="H175" s="58">
        <f t="shared" si="18"/>
        <v>0</v>
      </c>
      <c r="I175" s="57">
        <f t="shared" si="19"/>
        <v>0</v>
      </c>
      <c r="J175" s="59">
        <f t="shared" si="20"/>
        <v>0</v>
      </c>
      <c r="K175" s="59">
        <f t="shared" si="23"/>
        <v>174</v>
      </c>
      <c r="L175" s="120">
        <f t="shared" si="16"/>
        <v>174</v>
      </c>
      <c r="M175" s="154"/>
      <c r="N175" s="160"/>
      <c r="O175" s="169"/>
      <c r="P175" s="169"/>
      <c r="Q175" s="169"/>
      <c r="R175" s="160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1"/>
    </row>
    <row r="176" spans="4:31" hidden="1" x14ac:dyDescent="0.25">
      <c r="D176" s="110"/>
      <c r="E176" s="55">
        <f t="shared" si="22"/>
        <v>141</v>
      </c>
      <c r="F176" s="56">
        <f t="shared" si="21"/>
        <v>0</v>
      </c>
      <c r="G176" s="57">
        <f t="shared" si="17"/>
        <v>0</v>
      </c>
      <c r="H176" s="58">
        <f t="shared" si="18"/>
        <v>0</v>
      </c>
      <c r="I176" s="57">
        <f t="shared" si="19"/>
        <v>0</v>
      </c>
      <c r="J176" s="59">
        <f t="shared" si="20"/>
        <v>0</v>
      </c>
      <c r="K176" s="59">
        <f t="shared" si="23"/>
        <v>174</v>
      </c>
      <c r="L176" s="120">
        <f t="shared" si="16"/>
        <v>174</v>
      </c>
      <c r="M176" s="154"/>
      <c r="N176" s="160"/>
      <c r="O176" s="169"/>
      <c r="P176" s="169"/>
      <c r="Q176" s="169"/>
      <c r="R176" s="160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1"/>
    </row>
    <row r="177" spans="4:31" hidden="1" x14ac:dyDescent="0.25">
      <c r="D177" s="110"/>
      <c r="E177" s="55">
        <f t="shared" si="22"/>
        <v>142</v>
      </c>
      <c r="F177" s="56">
        <f t="shared" si="21"/>
        <v>0</v>
      </c>
      <c r="G177" s="57">
        <f t="shared" si="17"/>
        <v>0</v>
      </c>
      <c r="H177" s="58">
        <f t="shared" si="18"/>
        <v>0</v>
      </c>
      <c r="I177" s="57">
        <f t="shared" si="19"/>
        <v>0</v>
      </c>
      <c r="J177" s="59">
        <f t="shared" si="20"/>
        <v>0</v>
      </c>
      <c r="K177" s="59">
        <f t="shared" si="23"/>
        <v>174</v>
      </c>
      <c r="L177" s="120">
        <f t="shared" si="16"/>
        <v>174</v>
      </c>
      <c r="M177" s="154"/>
      <c r="N177" s="160"/>
      <c r="O177" s="169"/>
      <c r="P177" s="169"/>
      <c r="Q177" s="169"/>
      <c r="R177" s="160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1"/>
    </row>
    <row r="178" spans="4:31" hidden="1" x14ac:dyDescent="0.25">
      <c r="D178" s="110"/>
      <c r="E178" s="55">
        <f t="shared" si="22"/>
        <v>143</v>
      </c>
      <c r="F178" s="56">
        <f t="shared" si="21"/>
        <v>0</v>
      </c>
      <c r="G178" s="57">
        <f t="shared" si="17"/>
        <v>0</v>
      </c>
      <c r="H178" s="58">
        <f t="shared" si="18"/>
        <v>0</v>
      </c>
      <c r="I178" s="57">
        <f t="shared" si="19"/>
        <v>0</v>
      </c>
      <c r="J178" s="59">
        <f t="shared" si="20"/>
        <v>0</v>
      </c>
      <c r="K178" s="59">
        <f t="shared" si="23"/>
        <v>174</v>
      </c>
      <c r="L178" s="120">
        <f t="shared" si="16"/>
        <v>174</v>
      </c>
      <c r="M178" s="154"/>
      <c r="N178" s="160"/>
      <c r="O178" s="169"/>
      <c r="P178" s="169"/>
      <c r="Q178" s="169"/>
      <c r="R178" s="160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1"/>
    </row>
    <row r="179" spans="4:31" hidden="1" x14ac:dyDescent="0.25">
      <c r="D179" s="110"/>
      <c r="E179" s="55">
        <f t="shared" si="22"/>
        <v>144</v>
      </c>
      <c r="F179" s="56">
        <f t="shared" si="21"/>
        <v>0</v>
      </c>
      <c r="G179" s="57">
        <f t="shared" si="17"/>
        <v>0</v>
      </c>
      <c r="H179" s="58">
        <f t="shared" si="18"/>
        <v>0</v>
      </c>
      <c r="I179" s="57">
        <f t="shared" si="19"/>
        <v>0</v>
      </c>
      <c r="J179" s="59">
        <f t="shared" si="20"/>
        <v>0</v>
      </c>
      <c r="K179" s="59">
        <f t="shared" si="23"/>
        <v>174</v>
      </c>
      <c r="L179" s="120">
        <f t="shared" si="16"/>
        <v>174</v>
      </c>
      <c r="M179" s="154"/>
      <c r="N179" s="160"/>
      <c r="O179" s="169"/>
      <c r="P179" s="169"/>
      <c r="Q179" s="169"/>
      <c r="R179" s="160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1"/>
    </row>
    <row r="180" spans="4:31" hidden="1" x14ac:dyDescent="0.25">
      <c r="D180" s="110"/>
      <c r="E180" s="55">
        <f t="shared" si="22"/>
        <v>145</v>
      </c>
      <c r="F180" s="56">
        <f t="shared" si="21"/>
        <v>0</v>
      </c>
      <c r="G180" s="57">
        <f t="shared" si="17"/>
        <v>0</v>
      </c>
      <c r="H180" s="58">
        <f t="shared" si="18"/>
        <v>0</v>
      </c>
      <c r="I180" s="57">
        <f t="shared" si="19"/>
        <v>0</v>
      </c>
      <c r="J180" s="59">
        <f t="shared" si="20"/>
        <v>0</v>
      </c>
      <c r="K180" s="59">
        <f t="shared" si="23"/>
        <v>174</v>
      </c>
      <c r="L180" s="120">
        <f t="shared" si="16"/>
        <v>174</v>
      </c>
      <c r="M180" s="154"/>
      <c r="N180" s="160"/>
      <c r="O180" s="169"/>
      <c r="P180" s="169"/>
      <c r="Q180" s="169"/>
      <c r="R180" s="160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1"/>
    </row>
    <row r="181" spans="4:31" hidden="1" x14ac:dyDescent="0.25">
      <c r="D181" s="110"/>
      <c r="E181" s="55">
        <f t="shared" si="22"/>
        <v>146</v>
      </c>
      <c r="F181" s="56">
        <f t="shared" si="21"/>
        <v>0</v>
      </c>
      <c r="G181" s="57">
        <f t="shared" si="17"/>
        <v>0</v>
      </c>
      <c r="H181" s="58">
        <f t="shared" si="18"/>
        <v>0</v>
      </c>
      <c r="I181" s="57">
        <f t="shared" si="19"/>
        <v>0</v>
      </c>
      <c r="J181" s="59">
        <f t="shared" si="20"/>
        <v>0</v>
      </c>
      <c r="K181" s="59">
        <f t="shared" si="23"/>
        <v>174</v>
      </c>
      <c r="L181" s="120">
        <f t="shared" si="16"/>
        <v>174</v>
      </c>
      <c r="M181" s="154"/>
      <c r="N181" s="160"/>
      <c r="O181" s="169"/>
      <c r="P181" s="169"/>
      <c r="Q181" s="169"/>
      <c r="R181" s="160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1"/>
    </row>
    <row r="182" spans="4:31" hidden="1" x14ac:dyDescent="0.25">
      <c r="D182" s="110"/>
      <c r="E182" s="55">
        <f t="shared" si="22"/>
        <v>147</v>
      </c>
      <c r="F182" s="56">
        <f t="shared" si="21"/>
        <v>0</v>
      </c>
      <c r="G182" s="57">
        <f t="shared" si="17"/>
        <v>0</v>
      </c>
      <c r="H182" s="58">
        <f t="shared" si="18"/>
        <v>0</v>
      </c>
      <c r="I182" s="57">
        <f t="shared" si="19"/>
        <v>0</v>
      </c>
      <c r="J182" s="59">
        <f t="shared" si="20"/>
        <v>0</v>
      </c>
      <c r="K182" s="59">
        <f t="shared" si="23"/>
        <v>174</v>
      </c>
      <c r="L182" s="120">
        <f t="shared" si="16"/>
        <v>174</v>
      </c>
      <c r="M182" s="154"/>
      <c r="N182" s="160"/>
      <c r="O182" s="169"/>
      <c r="P182" s="169"/>
      <c r="Q182" s="169"/>
      <c r="R182" s="160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1"/>
    </row>
    <row r="183" spans="4:31" hidden="1" x14ac:dyDescent="0.25">
      <c r="D183" s="110"/>
      <c r="E183" s="55">
        <f t="shared" si="22"/>
        <v>148</v>
      </c>
      <c r="F183" s="56">
        <f t="shared" si="21"/>
        <v>0</v>
      </c>
      <c r="G183" s="57">
        <f t="shared" si="17"/>
        <v>0</v>
      </c>
      <c r="H183" s="58">
        <f t="shared" si="18"/>
        <v>0</v>
      </c>
      <c r="I183" s="57">
        <f t="shared" si="19"/>
        <v>0</v>
      </c>
      <c r="J183" s="59">
        <f t="shared" si="20"/>
        <v>0</v>
      </c>
      <c r="K183" s="59">
        <f t="shared" si="23"/>
        <v>174</v>
      </c>
      <c r="L183" s="120">
        <f t="shared" si="16"/>
        <v>174</v>
      </c>
      <c r="M183" s="154"/>
      <c r="N183" s="160"/>
      <c r="O183" s="169"/>
      <c r="P183" s="169"/>
      <c r="Q183" s="169"/>
      <c r="R183" s="160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1"/>
    </row>
    <row r="184" spans="4:31" hidden="1" x14ac:dyDescent="0.25">
      <c r="D184" s="110"/>
      <c r="E184" s="55">
        <f t="shared" si="22"/>
        <v>149</v>
      </c>
      <c r="F184" s="56">
        <f t="shared" si="21"/>
        <v>0</v>
      </c>
      <c r="G184" s="57">
        <f t="shared" si="17"/>
        <v>0</v>
      </c>
      <c r="H184" s="58">
        <f t="shared" si="18"/>
        <v>0</v>
      </c>
      <c r="I184" s="57">
        <f t="shared" si="19"/>
        <v>0</v>
      </c>
      <c r="J184" s="59">
        <f t="shared" si="20"/>
        <v>0</v>
      </c>
      <c r="K184" s="59">
        <f t="shared" si="23"/>
        <v>174</v>
      </c>
      <c r="L184" s="120">
        <f t="shared" si="16"/>
        <v>174</v>
      </c>
      <c r="M184" s="154"/>
      <c r="N184" s="160"/>
      <c r="O184" s="169"/>
      <c r="P184" s="169"/>
      <c r="Q184" s="169"/>
      <c r="R184" s="160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1"/>
    </row>
    <row r="185" spans="4:31" hidden="1" x14ac:dyDescent="0.25">
      <c r="D185" s="110"/>
      <c r="E185" s="55">
        <f t="shared" si="22"/>
        <v>150</v>
      </c>
      <c r="F185" s="56">
        <f t="shared" si="21"/>
        <v>0</v>
      </c>
      <c r="G185" s="57">
        <f t="shared" si="17"/>
        <v>0</v>
      </c>
      <c r="H185" s="58">
        <f t="shared" si="18"/>
        <v>0</v>
      </c>
      <c r="I185" s="57">
        <f t="shared" si="19"/>
        <v>0</v>
      </c>
      <c r="J185" s="59">
        <f t="shared" si="20"/>
        <v>0</v>
      </c>
      <c r="K185" s="59">
        <f t="shared" si="23"/>
        <v>174</v>
      </c>
      <c r="L185" s="120">
        <f t="shared" si="16"/>
        <v>174</v>
      </c>
      <c r="M185" s="154"/>
      <c r="N185" s="160"/>
      <c r="O185" s="169"/>
      <c r="P185" s="169"/>
      <c r="Q185" s="169"/>
      <c r="R185" s="160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1"/>
    </row>
    <row r="186" spans="4:31" hidden="1" x14ac:dyDescent="0.25">
      <c r="D186" s="110"/>
      <c r="E186" s="55">
        <f t="shared" si="22"/>
        <v>151</v>
      </c>
      <c r="F186" s="56">
        <f t="shared" si="21"/>
        <v>0</v>
      </c>
      <c r="G186" s="57">
        <f t="shared" si="17"/>
        <v>0</v>
      </c>
      <c r="H186" s="58">
        <f t="shared" si="18"/>
        <v>0</v>
      </c>
      <c r="I186" s="57">
        <f t="shared" si="19"/>
        <v>0</v>
      </c>
      <c r="J186" s="59">
        <f t="shared" si="20"/>
        <v>0</v>
      </c>
      <c r="K186" s="59">
        <f t="shared" si="23"/>
        <v>174</v>
      </c>
      <c r="L186" s="120">
        <f t="shared" si="16"/>
        <v>174</v>
      </c>
      <c r="M186" s="154"/>
      <c r="N186" s="160"/>
      <c r="O186" s="169"/>
      <c r="P186" s="169"/>
      <c r="Q186" s="169"/>
      <c r="R186" s="160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1"/>
    </row>
    <row r="187" spans="4:31" hidden="1" x14ac:dyDescent="0.25">
      <c r="D187" s="110"/>
      <c r="E187" s="55">
        <f t="shared" si="22"/>
        <v>152</v>
      </c>
      <c r="F187" s="56">
        <f t="shared" si="21"/>
        <v>0</v>
      </c>
      <c r="G187" s="57">
        <f t="shared" si="17"/>
        <v>0</v>
      </c>
      <c r="H187" s="58">
        <f t="shared" si="18"/>
        <v>0</v>
      </c>
      <c r="I187" s="57">
        <f t="shared" si="19"/>
        <v>0</v>
      </c>
      <c r="J187" s="59">
        <f t="shared" si="20"/>
        <v>0</v>
      </c>
      <c r="K187" s="59">
        <f t="shared" si="23"/>
        <v>174</v>
      </c>
      <c r="L187" s="120">
        <f t="shared" si="16"/>
        <v>174</v>
      </c>
      <c r="M187" s="154"/>
      <c r="N187" s="160"/>
      <c r="O187" s="169"/>
      <c r="P187" s="169"/>
      <c r="Q187" s="169"/>
      <c r="R187" s="160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1"/>
    </row>
    <row r="188" spans="4:31" hidden="1" x14ac:dyDescent="0.25">
      <c r="D188" s="110"/>
      <c r="E188" s="55">
        <f t="shared" si="22"/>
        <v>153</v>
      </c>
      <c r="F188" s="56">
        <f t="shared" si="21"/>
        <v>0</v>
      </c>
      <c r="G188" s="57">
        <f t="shared" si="17"/>
        <v>0</v>
      </c>
      <c r="H188" s="58">
        <f t="shared" si="18"/>
        <v>0</v>
      </c>
      <c r="I188" s="57">
        <f t="shared" si="19"/>
        <v>0</v>
      </c>
      <c r="J188" s="59">
        <f t="shared" si="20"/>
        <v>0</v>
      </c>
      <c r="K188" s="59">
        <f t="shared" si="23"/>
        <v>174</v>
      </c>
      <c r="L188" s="120">
        <f t="shared" si="16"/>
        <v>174</v>
      </c>
      <c r="M188" s="154"/>
      <c r="N188" s="160"/>
      <c r="O188" s="169"/>
      <c r="P188" s="169"/>
      <c r="Q188" s="169"/>
      <c r="R188" s="160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1"/>
    </row>
    <row r="189" spans="4:31" hidden="1" x14ac:dyDescent="0.25">
      <c r="D189" s="110"/>
      <c r="E189" s="55">
        <f t="shared" si="22"/>
        <v>154</v>
      </c>
      <c r="F189" s="56">
        <f t="shared" si="21"/>
        <v>0</v>
      </c>
      <c r="G189" s="57">
        <f t="shared" si="17"/>
        <v>0</v>
      </c>
      <c r="H189" s="58">
        <f t="shared" si="18"/>
        <v>0</v>
      </c>
      <c r="I189" s="57">
        <f t="shared" si="19"/>
        <v>0</v>
      </c>
      <c r="J189" s="59">
        <f t="shared" si="20"/>
        <v>0</v>
      </c>
      <c r="K189" s="59">
        <f t="shared" si="23"/>
        <v>174</v>
      </c>
      <c r="L189" s="120">
        <f t="shared" si="16"/>
        <v>174</v>
      </c>
      <c r="M189" s="154"/>
      <c r="N189" s="160"/>
      <c r="O189" s="169"/>
      <c r="P189" s="169"/>
      <c r="Q189" s="169"/>
      <c r="R189" s="160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1"/>
    </row>
    <row r="190" spans="4:31" hidden="1" x14ac:dyDescent="0.25">
      <c r="D190" s="110"/>
      <c r="E190" s="55">
        <f t="shared" si="22"/>
        <v>155</v>
      </c>
      <c r="F190" s="56">
        <f t="shared" si="21"/>
        <v>0</v>
      </c>
      <c r="G190" s="57">
        <f t="shared" si="17"/>
        <v>0</v>
      </c>
      <c r="H190" s="58">
        <f t="shared" si="18"/>
        <v>0</v>
      </c>
      <c r="I190" s="57">
        <f t="shared" si="19"/>
        <v>0</v>
      </c>
      <c r="J190" s="59">
        <f t="shared" si="20"/>
        <v>0</v>
      </c>
      <c r="K190" s="59">
        <f t="shared" si="23"/>
        <v>174</v>
      </c>
      <c r="L190" s="120">
        <f t="shared" si="16"/>
        <v>174</v>
      </c>
      <c r="M190" s="154"/>
      <c r="N190" s="160"/>
      <c r="O190" s="169"/>
      <c r="P190" s="169"/>
      <c r="Q190" s="169"/>
      <c r="R190" s="160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1"/>
    </row>
    <row r="191" spans="4:31" hidden="1" x14ac:dyDescent="0.25">
      <c r="D191" s="110"/>
      <c r="E191" s="55">
        <f t="shared" si="22"/>
        <v>156</v>
      </c>
      <c r="F191" s="56">
        <f t="shared" si="21"/>
        <v>0</v>
      </c>
      <c r="G191" s="57">
        <f t="shared" si="17"/>
        <v>0</v>
      </c>
      <c r="H191" s="58">
        <f t="shared" si="18"/>
        <v>0</v>
      </c>
      <c r="I191" s="57">
        <f t="shared" si="19"/>
        <v>0</v>
      </c>
      <c r="J191" s="59">
        <f t="shared" si="20"/>
        <v>0</v>
      </c>
      <c r="K191" s="59">
        <f t="shared" si="23"/>
        <v>174</v>
      </c>
      <c r="L191" s="120">
        <f t="shared" si="16"/>
        <v>174</v>
      </c>
      <c r="M191" s="154"/>
      <c r="N191" s="160"/>
      <c r="O191" s="169"/>
      <c r="P191" s="169"/>
      <c r="Q191" s="169"/>
      <c r="R191" s="160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1"/>
    </row>
    <row r="192" spans="4:31" hidden="1" x14ac:dyDescent="0.25">
      <c r="D192" s="110"/>
      <c r="E192" s="55">
        <f t="shared" si="22"/>
        <v>157</v>
      </c>
      <c r="F192" s="56">
        <f t="shared" si="21"/>
        <v>0</v>
      </c>
      <c r="G192" s="57">
        <f t="shared" si="17"/>
        <v>0</v>
      </c>
      <c r="H192" s="58">
        <f t="shared" si="18"/>
        <v>0</v>
      </c>
      <c r="I192" s="57">
        <f t="shared" si="19"/>
        <v>0</v>
      </c>
      <c r="J192" s="59">
        <f t="shared" si="20"/>
        <v>0</v>
      </c>
      <c r="K192" s="59">
        <f t="shared" si="23"/>
        <v>174</v>
      </c>
      <c r="L192" s="120">
        <f t="shared" si="16"/>
        <v>174</v>
      </c>
      <c r="M192" s="154"/>
      <c r="N192" s="160"/>
      <c r="O192" s="169"/>
      <c r="P192" s="169"/>
      <c r="Q192" s="169"/>
      <c r="R192" s="160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1"/>
    </row>
    <row r="193" spans="4:31" hidden="1" x14ac:dyDescent="0.25">
      <c r="D193" s="110"/>
      <c r="E193" s="55">
        <f t="shared" si="22"/>
        <v>158</v>
      </c>
      <c r="F193" s="56">
        <f t="shared" si="21"/>
        <v>0</v>
      </c>
      <c r="G193" s="57">
        <f t="shared" si="17"/>
        <v>0</v>
      </c>
      <c r="H193" s="58">
        <f t="shared" si="18"/>
        <v>0</v>
      </c>
      <c r="I193" s="57">
        <f t="shared" si="19"/>
        <v>0</v>
      </c>
      <c r="J193" s="59">
        <f t="shared" si="20"/>
        <v>0</v>
      </c>
      <c r="K193" s="59">
        <f t="shared" si="23"/>
        <v>174</v>
      </c>
      <c r="L193" s="120">
        <f t="shared" si="16"/>
        <v>174</v>
      </c>
      <c r="M193" s="154"/>
      <c r="N193" s="160"/>
      <c r="O193" s="169"/>
      <c r="P193" s="169"/>
      <c r="Q193" s="169"/>
      <c r="R193" s="160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1"/>
    </row>
    <row r="194" spans="4:31" hidden="1" x14ac:dyDescent="0.25">
      <c r="D194" s="110"/>
      <c r="E194" s="55">
        <f t="shared" si="22"/>
        <v>159</v>
      </c>
      <c r="F194" s="56">
        <f t="shared" si="21"/>
        <v>0</v>
      </c>
      <c r="G194" s="57">
        <f t="shared" si="17"/>
        <v>0</v>
      </c>
      <c r="H194" s="58">
        <f t="shared" si="18"/>
        <v>0</v>
      </c>
      <c r="I194" s="57">
        <f t="shared" si="19"/>
        <v>0</v>
      </c>
      <c r="J194" s="59">
        <f t="shared" si="20"/>
        <v>0</v>
      </c>
      <c r="K194" s="59">
        <f t="shared" si="23"/>
        <v>174</v>
      </c>
      <c r="L194" s="120">
        <f t="shared" si="16"/>
        <v>174</v>
      </c>
      <c r="M194" s="154"/>
      <c r="N194" s="160"/>
      <c r="O194" s="169"/>
      <c r="P194" s="169"/>
      <c r="Q194" s="169"/>
      <c r="R194" s="160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1"/>
    </row>
    <row r="195" spans="4:31" hidden="1" x14ac:dyDescent="0.25">
      <c r="D195" s="110"/>
      <c r="E195" s="55">
        <f t="shared" si="22"/>
        <v>160</v>
      </c>
      <c r="F195" s="56">
        <f t="shared" si="21"/>
        <v>0</v>
      </c>
      <c r="G195" s="57">
        <f t="shared" si="17"/>
        <v>0</v>
      </c>
      <c r="H195" s="58">
        <f t="shared" si="18"/>
        <v>0</v>
      </c>
      <c r="I195" s="57">
        <f t="shared" si="19"/>
        <v>0</v>
      </c>
      <c r="J195" s="59">
        <f t="shared" si="20"/>
        <v>0</v>
      </c>
      <c r="K195" s="59">
        <f t="shared" si="23"/>
        <v>174</v>
      </c>
      <c r="L195" s="120">
        <f t="shared" si="16"/>
        <v>174</v>
      </c>
      <c r="M195" s="154"/>
      <c r="N195" s="160"/>
      <c r="O195" s="169"/>
      <c r="P195" s="169"/>
      <c r="Q195" s="169"/>
      <c r="R195" s="160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1"/>
    </row>
    <row r="196" spans="4:31" hidden="1" x14ac:dyDescent="0.25">
      <c r="D196" s="110"/>
      <c r="E196" s="55">
        <f t="shared" si="22"/>
        <v>161</v>
      </c>
      <c r="F196" s="56">
        <f t="shared" si="21"/>
        <v>0</v>
      </c>
      <c r="G196" s="57">
        <f t="shared" si="17"/>
        <v>0</v>
      </c>
      <c r="H196" s="58">
        <f t="shared" si="18"/>
        <v>0</v>
      </c>
      <c r="I196" s="57">
        <f t="shared" si="19"/>
        <v>0</v>
      </c>
      <c r="J196" s="59">
        <f t="shared" si="20"/>
        <v>0</v>
      </c>
      <c r="K196" s="59">
        <f t="shared" si="23"/>
        <v>174</v>
      </c>
      <c r="L196" s="120">
        <f t="shared" si="16"/>
        <v>174</v>
      </c>
      <c r="M196" s="154"/>
      <c r="N196" s="160"/>
      <c r="O196" s="169"/>
      <c r="P196" s="169"/>
      <c r="Q196" s="169"/>
      <c r="R196" s="160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1"/>
    </row>
    <row r="197" spans="4:31" hidden="1" x14ac:dyDescent="0.25">
      <c r="D197" s="110"/>
      <c r="E197" s="55">
        <f t="shared" si="22"/>
        <v>162</v>
      </c>
      <c r="F197" s="56">
        <f t="shared" si="21"/>
        <v>0</v>
      </c>
      <c r="G197" s="57">
        <f t="shared" si="17"/>
        <v>0</v>
      </c>
      <c r="H197" s="58">
        <f t="shared" si="18"/>
        <v>0</v>
      </c>
      <c r="I197" s="57">
        <f t="shared" si="19"/>
        <v>0</v>
      </c>
      <c r="J197" s="59">
        <f t="shared" si="20"/>
        <v>0</v>
      </c>
      <c r="K197" s="59">
        <f t="shared" si="23"/>
        <v>174</v>
      </c>
      <c r="L197" s="120">
        <f t="shared" si="16"/>
        <v>174</v>
      </c>
      <c r="M197" s="154"/>
      <c r="N197" s="160"/>
      <c r="O197" s="169"/>
      <c r="P197" s="169"/>
      <c r="Q197" s="169"/>
      <c r="R197" s="160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1"/>
    </row>
    <row r="198" spans="4:31" hidden="1" x14ac:dyDescent="0.25">
      <c r="D198" s="110"/>
      <c r="E198" s="55">
        <f t="shared" si="22"/>
        <v>163</v>
      </c>
      <c r="F198" s="56">
        <f t="shared" si="21"/>
        <v>0</v>
      </c>
      <c r="G198" s="57">
        <f t="shared" si="17"/>
        <v>0</v>
      </c>
      <c r="H198" s="58">
        <f t="shared" si="18"/>
        <v>0</v>
      </c>
      <c r="I198" s="57">
        <f t="shared" si="19"/>
        <v>0</v>
      </c>
      <c r="J198" s="59">
        <f t="shared" si="20"/>
        <v>0</v>
      </c>
      <c r="K198" s="59">
        <f t="shared" si="23"/>
        <v>174</v>
      </c>
      <c r="L198" s="120">
        <f t="shared" si="16"/>
        <v>174</v>
      </c>
      <c r="M198" s="154"/>
      <c r="N198" s="160"/>
      <c r="O198" s="169"/>
      <c r="P198" s="169"/>
      <c r="Q198" s="169"/>
      <c r="R198" s="160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1"/>
    </row>
    <row r="199" spans="4:31" hidden="1" x14ac:dyDescent="0.25">
      <c r="D199" s="110"/>
      <c r="E199" s="55">
        <f t="shared" si="22"/>
        <v>164</v>
      </c>
      <c r="F199" s="56">
        <f t="shared" si="21"/>
        <v>0</v>
      </c>
      <c r="G199" s="57">
        <f t="shared" si="17"/>
        <v>0</v>
      </c>
      <c r="H199" s="58">
        <f t="shared" si="18"/>
        <v>0</v>
      </c>
      <c r="I199" s="57">
        <f t="shared" si="19"/>
        <v>0</v>
      </c>
      <c r="J199" s="59">
        <f t="shared" si="20"/>
        <v>0</v>
      </c>
      <c r="K199" s="59">
        <f t="shared" si="23"/>
        <v>174</v>
      </c>
      <c r="L199" s="120">
        <f t="shared" si="16"/>
        <v>174</v>
      </c>
      <c r="M199" s="154"/>
      <c r="N199" s="160"/>
      <c r="O199" s="169"/>
      <c r="P199" s="169"/>
      <c r="Q199" s="169"/>
      <c r="R199" s="160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1"/>
    </row>
    <row r="200" spans="4:31" hidden="1" x14ac:dyDescent="0.25">
      <c r="D200" s="110"/>
      <c r="E200" s="55">
        <f t="shared" si="22"/>
        <v>165</v>
      </c>
      <c r="F200" s="56">
        <f t="shared" si="21"/>
        <v>0</v>
      </c>
      <c r="G200" s="57">
        <f t="shared" si="17"/>
        <v>0</v>
      </c>
      <c r="H200" s="58">
        <f t="shared" si="18"/>
        <v>0</v>
      </c>
      <c r="I200" s="57">
        <f t="shared" si="19"/>
        <v>0</v>
      </c>
      <c r="J200" s="59">
        <f t="shared" si="20"/>
        <v>0</v>
      </c>
      <c r="K200" s="59">
        <f t="shared" si="23"/>
        <v>174</v>
      </c>
      <c r="L200" s="120">
        <f t="shared" si="16"/>
        <v>174</v>
      </c>
      <c r="M200" s="154"/>
      <c r="N200" s="160"/>
      <c r="O200" s="169"/>
      <c r="P200" s="169"/>
      <c r="Q200" s="169"/>
      <c r="R200" s="160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1"/>
    </row>
    <row r="201" spans="4:31" hidden="1" x14ac:dyDescent="0.25">
      <c r="D201" s="110"/>
      <c r="E201" s="55">
        <f t="shared" si="22"/>
        <v>166</v>
      </c>
      <c r="F201" s="56">
        <f t="shared" si="21"/>
        <v>0</v>
      </c>
      <c r="G201" s="57">
        <f t="shared" si="17"/>
        <v>0</v>
      </c>
      <c r="H201" s="58">
        <f t="shared" si="18"/>
        <v>0</v>
      </c>
      <c r="I201" s="57">
        <f t="shared" si="19"/>
        <v>0</v>
      </c>
      <c r="J201" s="59">
        <f t="shared" si="20"/>
        <v>0</v>
      </c>
      <c r="K201" s="59">
        <f t="shared" si="23"/>
        <v>174</v>
      </c>
      <c r="L201" s="120">
        <f t="shared" si="16"/>
        <v>174</v>
      </c>
      <c r="M201" s="154"/>
      <c r="N201" s="160"/>
      <c r="O201" s="169"/>
      <c r="P201" s="169"/>
      <c r="Q201" s="169"/>
      <c r="R201" s="160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1"/>
    </row>
    <row r="202" spans="4:31" hidden="1" x14ac:dyDescent="0.25">
      <c r="D202" s="110"/>
      <c r="E202" s="55">
        <f t="shared" si="22"/>
        <v>167</v>
      </c>
      <c r="F202" s="56">
        <f t="shared" si="21"/>
        <v>0</v>
      </c>
      <c r="G202" s="57">
        <f t="shared" si="17"/>
        <v>0</v>
      </c>
      <c r="H202" s="58">
        <f t="shared" si="18"/>
        <v>0</v>
      </c>
      <c r="I202" s="57">
        <f t="shared" si="19"/>
        <v>0</v>
      </c>
      <c r="J202" s="59">
        <f t="shared" si="20"/>
        <v>0</v>
      </c>
      <c r="K202" s="59">
        <f t="shared" si="23"/>
        <v>174</v>
      </c>
      <c r="L202" s="120">
        <f t="shared" si="16"/>
        <v>174</v>
      </c>
      <c r="M202" s="154"/>
      <c r="N202" s="160"/>
      <c r="O202" s="169"/>
      <c r="P202" s="169"/>
      <c r="Q202" s="169"/>
      <c r="R202" s="160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1"/>
    </row>
    <row r="203" spans="4:31" hidden="1" x14ac:dyDescent="0.25">
      <c r="D203" s="110"/>
      <c r="E203" s="55">
        <f t="shared" si="22"/>
        <v>168</v>
      </c>
      <c r="F203" s="56">
        <f t="shared" si="21"/>
        <v>0</v>
      </c>
      <c r="G203" s="57">
        <f t="shared" si="17"/>
        <v>0</v>
      </c>
      <c r="H203" s="58">
        <f t="shared" si="18"/>
        <v>0</v>
      </c>
      <c r="I203" s="57">
        <f t="shared" si="19"/>
        <v>0</v>
      </c>
      <c r="J203" s="59">
        <f t="shared" si="20"/>
        <v>0</v>
      </c>
      <c r="K203" s="59">
        <f t="shared" si="23"/>
        <v>174</v>
      </c>
      <c r="L203" s="120">
        <f t="shared" si="16"/>
        <v>174</v>
      </c>
      <c r="M203" s="154"/>
      <c r="N203" s="160"/>
      <c r="O203" s="169"/>
      <c r="P203" s="169"/>
      <c r="Q203" s="169"/>
      <c r="R203" s="160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1"/>
    </row>
    <row r="204" spans="4:31" hidden="1" x14ac:dyDescent="0.25">
      <c r="D204" s="110"/>
      <c r="E204" s="55">
        <f t="shared" si="22"/>
        <v>169</v>
      </c>
      <c r="F204" s="56">
        <f t="shared" si="21"/>
        <v>0</v>
      </c>
      <c r="G204" s="57">
        <f t="shared" si="17"/>
        <v>0</v>
      </c>
      <c r="H204" s="58">
        <f t="shared" si="18"/>
        <v>0</v>
      </c>
      <c r="I204" s="57">
        <f t="shared" si="19"/>
        <v>0</v>
      </c>
      <c r="J204" s="59">
        <f t="shared" si="20"/>
        <v>0</v>
      </c>
      <c r="K204" s="59">
        <f t="shared" si="23"/>
        <v>174</v>
      </c>
      <c r="L204" s="120">
        <f t="shared" si="16"/>
        <v>174</v>
      </c>
      <c r="M204" s="154"/>
      <c r="N204" s="160"/>
      <c r="O204" s="169"/>
      <c r="P204" s="169"/>
      <c r="Q204" s="169"/>
      <c r="R204" s="160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1"/>
    </row>
    <row r="205" spans="4:31" hidden="1" x14ac:dyDescent="0.25">
      <c r="D205" s="110"/>
      <c r="E205" s="55">
        <f t="shared" si="22"/>
        <v>170</v>
      </c>
      <c r="F205" s="56">
        <f t="shared" si="21"/>
        <v>0</v>
      </c>
      <c r="G205" s="57">
        <f t="shared" si="17"/>
        <v>0</v>
      </c>
      <c r="H205" s="58">
        <f t="shared" si="18"/>
        <v>0</v>
      </c>
      <c r="I205" s="57">
        <f t="shared" si="19"/>
        <v>0</v>
      </c>
      <c r="J205" s="59">
        <f t="shared" si="20"/>
        <v>0</v>
      </c>
      <c r="K205" s="59">
        <f t="shared" si="23"/>
        <v>174</v>
      </c>
      <c r="L205" s="120">
        <f t="shared" si="16"/>
        <v>174</v>
      </c>
      <c r="M205" s="154"/>
      <c r="N205" s="160"/>
      <c r="O205" s="169"/>
      <c r="P205" s="169"/>
      <c r="Q205" s="169"/>
      <c r="R205" s="160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1"/>
    </row>
    <row r="206" spans="4:31" hidden="1" x14ac:dyDescent="0.25">
      <c r="D206" s="110"/>
      <c r="E206" s="55">
        <f t="shared" si="22"/>
        <v>171</v>
      </c>
      <c r="F206" s="56">
        <f t="shared" si="21"/>
        <v>0</v>
      </c>
      <c r="G206" s="57">
        <f t="shared" si="17"/>
        <v>0</v>
      </c>
      <c r="H206" s="58">
        <f t="shared" si="18"/>
        <v>0</v>
      </c>
      <c r="I206" s="57">
        <f t="shared" si="19"/>
        <v>0</v>
      </c>
      <c r="J206" s="59">
        <f t="shared" si="20"/>
        <v>0</v>
      </c>
      <c r="K206" s="59">
        <f t="shared" si="23"/>
        <v>174</v>
      </c>
      <c r="L206" s="120">
        <f t="shared" si="16"/>
        <v>174</v>
      </c>
      <c r="M206" s="154"/>
      <c r="N206" s="160"/>
      <c r="O206" s="169"/>
      <c r="P206" s="169"/>
      <c r="Q206" s="169"/>
      <c r="R206" s="160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1"/>
    </row>
    <row r="207" spans="4:31" hidden="1" x14ac:dyDescent="0.25">
      <c r="D207" s="110"/>
      <c r="E207" s="55">
        <f t="shared" si="22"/>
        <v>172</v>
      </c>
      <c r="F207" s="56">
        <f t="shared" si="21"/>
        <v>0</v>
      </c>
      <c r="G207" s="57">
        <f t="shared" si="17"/>
        <v>0</v>
      </c>
      <c r="H207" s="58">
        <f t="shared" si="18"/>
        <v>0</v>
      </c>
      <c r="I207" s="57">
        <f t="shared" si="19"/>
        <v>0</v>
      </c>
      <c r="J207" s="59">
        <f t="shared" si="20"/>
        <v>0</v>
      </c>
      <c r="K207" s="59">
        <f t="shared" si="23"/>
        <v>174</v>
      </c>
      <c r="L207" s="120">
        <f t="shared" si="16"/>
        <v>174</v>
      </c>
      <c r="M207" s="154"/>
      <c r="N207" s="160"/>
      <c r="O207" s="169"/>
      <c r="P207" s="169"/>
      <c r="Q207" s="169"/>
      <c r="R207" s="160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1"/>
    </row>
    <row r="208" spans="4:31" hidden="1" x14ac:dyDescent="0.25">
      <c r="D208" s="110"/>
      <c r="E208" s="55">
        <f t="shared" si="22"/>
        <v>173</v>
      </c>
      <c r="F208" s="56">
        <f t="shared" si="21"/>
        <v>0</v>
      </c>
      <c r="G208" s="57">
        <f t="shared" si="17"/>
        <v>0</v>
      </c>
      <c r="H208" s="58">
        <f t="shared" si="18"/>
        <v>0</v>
      </c>
      <c r="I208" s="57">
        <f t="shared" si="19"/>
        <v>0</v>
      </c>
      <c r="J208" s="59">
        <f t="shared" si="20"/>
        <v>0</v>
      </c>
      <c r="K208" s="59">
        <f t="shared" si="23"/>
        <v>174</v>
      </c>
      <c r="L208" s="120">
        <f t="shared" si="16"/>
        <v>174</v>
      </c>
      <c r="M208" s="154"/>
      <c r="N208" s="160"/>
      <c r="O208" s="169"/>
      <c r="P208" s="169"/>
      <c r="Q208" s="169"/>
      <c r="R208" s="160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1"/>
    </row>
    <row r="209" spans="4:31" hidden="1" x14ac:dyDescent="0.25">
      <c r="D209" s="110"/>
      <c r="E209" s="55">
        <f t="shared" si="22"/>
        <v>174</v>
      </c>
      <c r="F209" s="56">
        <f t="shared" si="21"/>
        <v>0</v>
      </c>
      <c r="G209" s="57">
        <f t="shared" si="17"/>
        <v>0</v>
      </c>
      <c r="H209" s="58">
        <f t="shared" si="18"/>
        <v>0</v>
      </c>
      <c r="I209" s="57">
        <f t="shared" si="19"/>
        <v>0</v>
      </c>
      <c r="J209" s="59">
        <f t="shared" si="20"/>
        <v>0</v>
      </c>
      <c r="K209" s="59">
        <f t="shared" si="23"/>
        <v>174</v>
      </c>
      <c r="L209" s="120">
        <f t="shared" si="16"/>
        <v>174</v>
      </c>
      <c r="M209" s="154"/>
      <c r="N209" s="160"/>
      <c r="O209" s="169"/>
      <c r="P209" s="169"/>
      <c r="Q209" s="169"/>
      <c r="R209" s="160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1"/>
    </row>
    <row r="210" spans="4:31" hidden="1" x14ac:dyDescent="0.25">
      <c r="D210" s="110"/>
      <c r="E210" s="55">
        <f t="shared" si="22"/>
        <v>175</v>
      </c>
      <c r="F210" s="56">
        <f t="shared" si="21"/>
        <v>0</v>
      </c>
      <c r="G210" s="57">
        <f t="shared" si="17"/>
        <v>0</v>
      </c>
      <c r="H210" s="58">
        <f t="shared" si="18"/>
        <v>0</v>
      </c>
      <c r="I210" s="57">
        <f t="shared" si="19"/>
        <v>0</v>
      </c>
      <c r="J210" s="59">
        <f t="shared" si="20"/>
        <v>0</v>
      </c>
      <c r="K210" s="59">
        <f t="shared" si="23"/>
        <v>174</v>
      </c>
      <c r="L210" s="120">
        <f t="shared" si="16"/>
        <v>174</v>
      </c>
      <c r="M210" s="154"/>
      <c r="N210" s="160"/>
      <c r="O210" s="169"/>
      <c r="P210" s="169"/>
      <c r="Q210" s="169"/>
      <c r="R210" s="160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1"/>
    </row>
    <row r="211" spans="4:31" hidden="1" x14ac:dyDescent="0.25">
      <c r="D211" s="110"/>
      <c r="E211" s="55">
        <f t="shared" si="22"/>
        <v>176</v>
      </c>
      <c r="F211" s="56">
        <f t="shared" si="21"/>
        <v>0</v>
      </c>
      <c r="G211" s="57">
        <f t="shared" si="17"/>
        <v>0</v>
      </c>
      <c r="H211" s="58">
        <f t="shared" si="18"/>
        <v>0</v>
      </c>
      <c r="I211" s="57">
        <f t="shared" si="19"/>
        <v>0</v>
      </c>
      <c r="J211" s="59">
        <f t="shared" si="20"/>
        <v>0</v>
      </c>
      <c r="K211" s="59">
        <f t="shared" si="23"/>
        <v>174</v>
      </c>
      <c r="L211" s="120">
        <f t="shared" si="16"/>
        <v>174</v>
      </c>
      <c r="M211" s="154"/>
      <c r="N211" s="160"/>
      <c r="O211" s="169"/>
      <c r="P211" s="169"/>
      <c r="Q211" s="169"/>
      <c r="R211" s="160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1"/>
    </row>
    <row r="212" spans="4:31" hidden="1" x14ac:dyDescent="0.25">
      <c r="D212" s="110"/>
      <c r="E212" s="55">
        <f t="shared" si="22"/>
        <v>177</v>
      </c>
      <c r="F212" s="56">
        <f t="shared" si="21"/>
        <v>0</v>
      </c>
      <c r="G212" s="57">
        <f t="shared" si="17"/>
        <v>0</v>
      </c>
      <c r="H212" s="58">
        <f t="shared" si="18"/>
        <v>0</v>
      </c>
      <c r="I212" s="57">
        <f t="shared" si="19"/>
        <v>0</v>
      </c>
      <c r="J212" s="59">
        <f t="shared" si="20"/>
        <v>0</v>
      </c>
      <c r="K212" s="59">
        <f t="shared" si="23"/>
        <v>174</v>
      </c>
      <c r="L212" s="120">
        <f t="shared" si="16"/>
        <v>174</v>
      </c>
      <c r="M212" s="154"/>
      <c r="N212" s="160"/>
      <c r="O212" s="169"/>
      <c r="P212" s="169"/>
      <c r="Q212" s="169"/>
      <c r="R212" s="160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1"/>
    </row>
    <row r="213" spans="4:31" hidden="1" x14ac:dyDescent="0.25">
      <c r="D213" s="110"/>
      <c r="E213" s="55">
        <f t="shared" si="22"/>
        <v>178</v>
      </c>
      <c r="F213" s="56">
        <f t="shared" si="21"/>
        <v>0</v>
      </c>
      <c r="G213" s="57">
        <f t="shared" si="17"/>
        <v>0</v>
      </c>
      <c r="H213" s="58">
        <f t="shared" si="18"/>
        <v>0</v>
      </c>
      <c r="I213" s="57">
        <f t="shared" si="19"/>
        <v>0</v>
      </c>
      <c r="J213" s="59">
        <f t="shared" si="20"/>
        <v>0</v>
      </c>
      <c r="K213" s="59">
        <f t="shared" si="23"/>
        <v>174</v>
      </c>
      <c r="L213" s="120">
        <f t="shared" si="16"/>
        <v>174</v>
      </c>
      <c r="M213" s="154"/>
      <c r="N213" s="160"/>
      <c r="O213" s="169"/>
      <c r="P213" s="169"/>
      <c r="Q213" s="169"/>
      <c r="R213" s="160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1"/>
    </row>
    <row r="214" spans="4:31" hidden="1" x14ac:dyDescent="0.25">
      <c r="D214" s="110"/>
      <c r="E214" s="55">
        <f t="shared" si="22"/>
        <v>179</v>
      </c>
      <c r="F214" s="56">
        <f t="shared" si="21"/>
        <v>0</v>
      </c>
      <c r="G214" s="57">
        <f t="shared" si="17"/>
        <v>0</v>
      </c>
      <c r="H214" s="58">
        <f t="shared" si="18"/>
        <v>0</v>
      </c>
      <c r="I214" s="57">
        <f t="shared" si="19"/>
        <v>0</v>
      </c>
      <c r="J214" s="59">
        <f t="shared" si="20"/>
        <v>0</v>
      </c>
      <c r="K214" s="59">
        <f t="shared" si="23"/>
        <v>174</v>
      </c>
      <c r="L214" s="120">
        <f t="shared" si="16"/>
        <v>174</v>
      </c>
      <c r="M214" s="154"/>
      <c r="N214" s="160"/>
      <c r="O214" s="169"/>
      <c r="P214" s="169"/>
      <c r="Q214" s="169"/>
      <c r="R214" s="160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1"/>
    </row>
    <row r="215" spans="4:31" hidden="1" x14ac:dyDescent="0.25">
      <c r="D215" s="110"/>
      <c r="E215" s="55">
        <f t="shared" si="22"/>
        <v>180</v>
      </c>
      <c r="F215" s="56">
        <f t="shared" si="21"/>
        <v>0</v>
      </c>
      <c r="G215" s="57">
        <f t="shared" si="17"/>
        <v>0</v>
      </c>
      <c r="H215" s="58">
        <f t="shared" si="18"/>
        <v>0</v>
      </c>
      <c r="I215" s="57">
        <f t="shared" si="19"/>
        <v>0</v>
      </c>
      <c r="J215" s="59">
        <f t="shared" si="20"/>
        <v>0</v>
      </c>
      <c r="K215" s="59">
        <f t="shared" si="23"/>
        <v>174</v>
      </c>
      <c r="L215" s="120">
        <f t="shared" si="16"/>
        <v>174</v>
      </c>
      <c r="M215" s="154"/>
      <c r="N215" s="160"/>
      <c r="O215" s="169"/>
      <c r="P215" s="169"/>
      <c r="Q215" s="169"/>
      <c r="R215" s="160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1"/>
    </row>
    <row r="216" spans="4:31" hidden="1" x14ac:dyDescent="0.25">
      <c r="D216" s="110"/>
      <c r="E216" s="55">
        <f t="shared" si="22"/>
        <v>181</v>
      </c>
      <c r="F216" s="56">
        <f t="shared" si="21"/>
        <v>0</v>
      </c>
      <c r="G216" s="57">
        <f t="shared" si="17"/>
        <v>0</v>
      </c>
      <c r="H216" s="58">
        <f t="shared" si="18"/>
        <v>0</v>
      </c>
      <c r="I216" s="57">
        <f t="shared" si="19"/>
        <v>0</v>
      </c>
      <c r="J216" s="59">
        <f t="shared" si="20"/>
        <v>0</v>
      </c>
      <c r="K216" s="59">
        <f t="shared" si="23"/>
        <v>174</v>
      </c>
      <c r="L216" s="120">
        <f t="shared" si="16"/>
        <v>174</v>
      </c>
      <c r="M216" s="154"/>
      <c r="N216" s="160"/>
      <c r="O216" s="169"/>
      <c r="P216" s="169"/>
      <c r="Q216" s="169"/>
      <c r="R216" s="160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1"/>
    </row>
    <row r="217" spans="4:31" hidden="1" x14ac:dyDescent="0.25">
      <c r="D217" s="110"/>
      <c r="E217" s="55">
        <f t="shared" si="22"/>
        <v>182</v>
      </c>
      <c r="F217" s="56">
        <f t="shared" si="21"/>
        <v>0</v>
      </c>
      <c r="G217" s="57">
        <f t="shared" si="17"/>
        <v>0</v>
      </c>
      <c r="H217" s="58">
        <f t="shared" si="18"/>
        <v>0</v>
      </c>
      <c r="I217" s="57">
        <f t="shared" si="19"/>
        <v>0</v>
      </c>
      <c r="J217" s="59">
        <f t="shared" si="20"/>
        <v>0</v>
      </c>
      <c r="K217" s="59">
        <f t="shared" si="23"/>
        <v>174</v>
      </c>
      <c r="L217" s="120">
        <f t="shared" si="16"/>
        <v>174</v>
      </c>
      <c r="M217" s="154"/>
      <c r="N217" s="160"/>
      <c r="O217" s="169"/>
      <c r="P217" s="169"/>
      <c r="Q217" s="169"/>
      <c r="R217" s="160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1"/>
    </row>
    <row r="218" spans="4:31" hidden="1" x14ac:dyDescent="0.25">
      <c r="D218" s="110"/>
      <c r="E218" s="55">
        <f t="shared" si="22"/>
        <v>183</v>
      </c>
      <c r="F218" s="56">
        <f t="shared" si="21"/>
        <v>0</v>
      </c>
      <c r="G218" s="57">
        <f t="shared" si="17"/>
        <v>0</v>
      </c>
      <c r="H218" s="58">
        <f t="shared" si="18"/>
        <v>0</v>
      </c>
      <c r="I218" s="57">
        <f t="shared" si="19"/>
        <v>0</v>
      </c>
      <c r="J218" s="59">
        <f t="shared" si="20"/>
        <v>0</v>
      </c>
      <c r="K218" s="59">
        <f t="shared" si="23"/>
        <v>174</v>
      </c>
      <c r="L218" s="120">
        <f t="shared" si="16"/>
        <v>174</v>
      </c>
      <c r="M218" s="154"/>
      <c r="N218" s="160"/>
      <c r="O218" s="169"/>
      <c r="P218" s="169"/>
      <c r="Q218" s="169"/>
      <c r="R218" s="160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1"/>
    </row>
    <row r="219" spans="4:31" hidden="1" x14ac:dyDescent="0.25">
      <c r="D219" s="110"/>
      <c r="E219" s="55">
        <f t="shared" si="22"/>
        <v>184</v>
      </c>
      <c r="F219" s="56">
        <f t="shared" si="21"/>
        <v>0</v>
      </c>
      <c r="G219" s="57">
        <f t="shared" si="17"/>
        <v>0</v>
      </c>
      <c r="H219" s="58">
        <f t="shared" si="18"/>
        <v>0</v>
      </c>
      <c r="I219" s="57">
        <f t="shared" si="19"/>
        <v>0</v>
      </c>
      <c r="J219" s="59">
        <f t="shared" si="20"/>
        <v>0</v>
      </c>
      <c r="K219" s="59">
        <f t="shared" si="23"/>
        <v>174</v>
      </c>
      <c r="L219" s="120">
        <f t="shared" si="16"/>
        <v>174</v>
      </c>
      <c r="M219" s="154"/>
      <c r="N219" s="160"/>
      <c r="O219" s="169"/>
      <c r="P219" s="169"/>
      <c r="Q219" s="169"/>
      <c r="R219" s="160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1"/>
    </row>
    <row r="220" spans="4:31" hidden="1" x14ac:dyDescent="0.25">
      <c r="D220" s="110"/>
      <c r="E220" s="55">
        <f t="shared" si="22"/>
        <v>185</v>
      </c>
      <c r="F220" s="56">
        <f t="shared" si="21"/>
        <v>0</v>
      </c>
      <c r="G220" s="57">
        <f t="shared" si="17"/>
        <v>0</v>
      </c>
      <c r="H220" s="58">
        <f t="shared" si="18"/>
        <v>0</v>
      </c>
      <c r="I220" s="57">
        <f t="shared" si="19"/>
        <v>0</v>
      </c>
      <c r="J220" s="59">
        <f t="shared" si="20"/>
        <v>0</v>
      </c>
      <c r="K220" s="59">
        <f t="shared" si="23"/>
        <v>174</v>
      </c>
      <c r="L220" s="120">
        <f t="shared" ref="L220:L275" si="24">+I220+J220+K220</f>
        <v>174</v>
      </c>
      <c r="M220" s="154"/>
      <c r="N220" s="160"/>
      <c r="O220" s="169"/>
      <c r="P220" s="169"/>
      <c r="Q220" s="169"/>
      <c r="R220" s="160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1"/>
    </row>
    <row r="221" spans="4:31" hidden="1" x14ac:dyDescent="0.25">
      <c r="D221" s="110"/>
      <c r="E221" s="55">
        <f t="shared" si="22"/>
        <v>186</v>
      </c>
      <c r="F221" s="56">
        <f t="shared" si="21"/>
        <v>0</v>
      </c>
      <c r="G221" s="57">
        <f t="shared" si="17"/>
        <v>0</v>
      </c>
      <c r="H221" s="58">
        <f t="shared" si="18"/>
        <v>0</v>
      </c>
      <c r="I221" s="57">
        <f t="shared" si="19"/>
        <v>0</v>
      </c>
      <c r="J221" s="59">
        <f t="shared" si="20"/>
        <v>0</v>
      </c>
      <c r="K221" s="59">
        <f t="shared" si="23"/>
        <v>174</v>
      </c>
      <c r="L221" s="120">
        <f t="shared" si="24"/>
        <v>174</v>
      </c>
      <c r="M221" s="154"/>
      <c r="N221" s="160"/>
      <c r="O221" s="169"/>
      <c r="P221" s="169"/>
      <c r="Q221" s="169"/>
      <c r="R221" s="160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1"/>
    </row>
    <row r="222" spans="4:31" hidden="1" x14ac:dyDescent="0.25">
      <c r="D222" s="110"/>
      <c r="E222" s="55">
        <f t="shared" si="22"/>
        <v>187</v>
      </c>
      <c r="F222" s="56">
        <f t="shared" si="21"/>
        <v>0</v>
      </c>
      <c r="G222" s="57">
        <f t="shared" si="17"/>
        <v>0</v>
      </c>
      <c r="H222" s="58">
        <f t="shared" si="18"/>
        <v>0</v>
      </c>
      <c r="I222" s="57">
        <f t="shared" si="19"/>
        <v>0</v>
      </c>
      <c r="J222" s="59">
        <f t="shared" si="20"/>
        <v>0</v>
      </c>
      <c r="K222" s="59">
        <f t="shared" si="23"/>
        <v>174</v>
      </c>
      <c r="L222" s="120">
        <f t="shared" si="24"/>
        <v>174</v>
      </c>
      <c r="M222" s="154"/>
      <c r="N222" s="160"/>
      <c r="O222" s="169"/>
      <c r="P222" s="169"/>
      <c r="Q222" s="169"/>
      <c r="R222" s="160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1"/>
    </row>
    <row r="223" spans="4:31" hidden="1" x14ac:dyDescent="0.25">
      <c r="D223" s="110"/>
      <c r="E223" s="55">
        <f t="shared" si="22"/>
        <v>188</v>
      </c>
      <c r="F223" s="56">
        <f t="shared" si="21"/>
        <v>0</v>
      </c>
      <c r="G223" s="57">
        <f t="shared" si="17"/>
        <v>0</v>
      </c>
      <c r="H223" s="58">
        <f t="shared" si="18"/>
        <v>0</v>
      </c>
      <c r="I223" s="57">
        <f t="shared" si="19"/>
        <v>0</v>
      </c>
      <c r="J223" s="59">
        <f t="shared" si="20"/>
        <v>0</v>
      </c>
      <c r="K223" s="59">
        <f t="shared" si="23"/>
        <v>174</v>
      </c>
      <c r="L223" s="120">
        <f t="shared" si="24"/>
        <v>174</v>
      </c>
      <c r="M223" s="154"/>
      <c r="N223" s="160"/>
      <c r="O223" s="169"/>
      <c r="P223" s="169"/>
      <c r="Q223" s="169"/>
      <c r="R223" s="160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1"/>
    </row>
    <row r="224" spans="4:31" hidden="1" x14ac:dyDescent="0.25">
      <c r="D224" s="110"/>
      <c r="E224" s="55">
        <f t="shared" si="22"/>
        <v>189</v>
      </c>
      <c r="F224" s="56">
        <f t="shared" si="21"/>
        <v>0</v>
      </c>
      <c r="G224" s="57">
        <f t="shared" si="17"/>
        <v>0</v>
      </c>
      <c r="H224" s="58">
        <f t="shared" si="18"/>
        <v>0</v>
      </c>
      <c r="I224" s="57">
        <f t="shared" si="19"/>
        <v>0</v>
      </c>
      <c r="J224" s="59">
        <f t="shared" si="20"/>
        <v>0</v>
      </c>
      <c r="K224" s="59">
        <f t="shared" si="23"/>
        <v>174</v>
      </c>
      <c r="L224" s="120">
        <f t="shared" si="24"/>
        <v>174</v>
      </c>
      <c r="M224" s="154"/>
      <c r="N224" s="160"/>
      <c r="O224" s="169"/>
      <c r="P224" s="169"/>
      <c r="Q224" s="169"/>
      <c r="R224" s="160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1"/>
    </row>
    <row r="225" spans="4:31" hidden="1" x14ac:dyDescent="0.25">
      <c r="D225" s="110"/>
      <c r="E225" s="55">
        <f t="shared" si="22"/>
        <v>190</v>
      </c>
      <c r="F225" s="56">
        <f t="shared" si="21"/>
        <v>0</v>
      </c>
      <c r="G225" s="57">
        <f t="shared" si="17"/>
        <v>0</v>
      </c>
      <c r="H225" s="58">
        <f t="shared" si="18"/>
        <v>0</v>
      </c>
      <c r="I225" s="57">
        <f t="shared" si="19"/>
        <v>0</v>
      </c>
      <c r="J225" s="59">
        <f t="shared" si="20"/>
        <v>0</v>
      </c>
      <c r="K225" s="59">
        <f t="shared" si="23"/>
        <v>174</v>
      </c>
      <c r="L225" s="120">
        <f t="shared" si="24"/>
        <v>174</v>
      </c>
      <c r="M225" s="154"/>
      <c r="N225" s="160"/>
      <c r="O225" s="169"/>
      <c r="P225" s="169"/>
      <c r="Q225" s="169"/>
      <c r="R225" s="160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1"/>
    </row>
    <row r="226" spans="4:31" hidden="1" x14ac:dyDescent="0.25">
      <c r="D226" s="110"/>
      <c r="E226" s="55">
        <f t="shared" si="22"/>
        <v>191</v>
      </c>
      <c r="F226" s="56">
        <f t="shared" si="21"/>
        <v>0</v>
      </c>
      <c r="G226" s="57">
        <f t="shared" si="17"/>
        <v>0</v>
      </c>
      <c r="H226" s="58">
        <f t="shared" si="18"/>
        <v>0</v>
      </c>
      <c r="I226" s="57">
        <f t="shared" si="19"/>
        <v>0</v>
      </c>
      <c r="J226" s="59">
        <f t="shared" si="20"/>
        <v>0</v>
      </c>
      <c r="K226" s="59">
        <f t="shared" si="23"/>
        <v>174</v>
      </c>
      <c r="L226" s="120">
        <f t="shared" si="24"/>
        <v>174</v>
      </c>
      <c r="M226" s="154"/>
      <c r="N226" s="160"/>
      <c r="O226" s="169"/>
      <c r="P226" s="169"/>
      <c r="Q226" s="169"/>
      <c r="R226" s="160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1"/>
    </row>
    <row r="227" spans="4:31" hidden="1" x14ac:dyDescent="0.25">
      <c r="D227" s="110"/>
      <c r="E227" s="55">
        <f t="shared" si="22"/>
        <v>192</v>
      </c>
      <c r="F227" s="56">
        <f t="shared" si="21"/>
        <v>0</v>
      </c>
      <c r="G227" s="57">
        <f t="shared" si="17"/>
        <v>0</v>
      </c>
      <c r="H227" s="58">
        <f t="shared" si="18"/>
        <v>0</v>
      </c>
      <c r="I227" s="57">
        <f t="shared" si="19"/>
        <v>0</v>
      </c>
      <c r="J227" s="59">
        <f t="shared" si="20"/>
        <v>0</v>
      </c>
      <c r="K227" s="59">
        <f t="shared" si="23"/>
        <v>174</v>
      </c>
      <c r="L227" s="120">
        <f t="shared" si="24"/>
        <v>174</v>
      </c>
      <c r="M227" s="154"/>
      <c r="N227" s="160"/>
      <c r="O227" s="169"/>
      <c r="P227" s="169"/>
      <c r="Q227" s="169"/>
      <c r="R227" s="160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1"/>
    </row>
    <row r="228" spans="4:31" hidden="1" x14ac:dyDescent="0.25">
      <c r="D228" s="110"/>
      <c r="E228" s="55">
        <f t="shared" si="22"/>
        <v>193</v>
      </c>
      <c r="F228" s="56">
        <f t="shared" si="21"/>
        <v>0</v>
      </c>
      <c r="G228" s="57">
        <f t="shared" ref="G228:G275" si="25">+F228*$G$19/12</f>
        <v>0</v>
      </c>
      <c r="H228" s="58">
        <f t="shared" ref="H228:H275" si="26">+IF(E228&lt;=($G$18*12),$H$35-G228,0)</f>
        <v>0</v>
      </c>
      <c r="I228" s="57">
        <f t="shared" ref="I228:I275" si="27">+H228+G228</f>
        <v>0</v>
      </c>
      <c r="J228" s="59">
        <f t="shared" ref="J228:J275" si="28">+F228/1000*$J$33</f>
        <v>0</v>
      </c>
      <c r="K228" s="59">
        <f t="shared" si="23"/>
        <v>174</v>
      </c>
      <c r="L228" s="120">
        <f t="shared" si="24"/>
        <v>174</v>
      </c>
      <c r="M228" s="154"/>
      <c r="N228" s="160"/>
      <c r="O228" s="169"/>
      <c r="P228" s="169"/>
      <c r="Q228" s="169"/>
      <c r="R228" s="160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1"/>
    </row>
    <row r="229" spans="4:31" hidden="1" x14ac:dyDescent="0.25">
      <c r="D229" s="110"/>
      <c r="E229" s="55">
        <f t="shared" si="22"/>
        <v>194</v>
      </c>
      <c r="F229" s="56">
        <f t="shared" ref="F229:F275" si="29">IF(F228-H228&gt;0.01,F228-H228,0)</f>
        <v>0</v>
      </c>
      <c r="G229" s="57">
        <f t="shared" si="25"/>
        <v>0</v>
      </c>
      <c r="H229" s="58">
        <f t="shared" si="26"/>
        <v>0</v>
      </c>
      <c r="I229" s="57">
        <f t="shared" si="27"/>
        <v>0</v>
      </c>
      <c r="J229" s="59">
        <f t="shared" si="28"/>
        <v>0</v>
      </c>
      <c r="K229" s="59">
        <f t="shared" si="23"/>
        <v>174</v>
      </c>
      <c r="L229" s="120">
        <f t="shared" si="24"/>
        <v>174</v>
      </c>
      <c r="M229" s="154"/>
      <c r="N229" s="160"/>
      <c r="O229" s="169"/>
      <c r="P229" s="169"/>
      <c r="Q229" s="169"/>
      <c r="R229" s="160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1"/>
    </row>
    <row r="230" spans="4:31" hidden="1" x14ac:dyDescent="0.25">
      <c r="D230" s="110"/>
      <c r="E230" s="55">
        <f t="shared" ref="E230:E275" si="30">+E229+1</f>
        <v>195</v>
      </c>
      <c r="F230" s="56">
        <f t="shared" si="29"/>
        <v>0</v>
      </c>
      <c r="G230" s="57">
        <f t="shared" si="25"/>
        <v>0</v>
      </c>
      <c r="H230" s="58">
        <f t="shared" si="26"/>
        <v>0</v>
      </c>
      <c r="I230" s="57">
        <f t="shared" si="27"/>
        <v>0</v>
      </c>
      <c r="J230" s="59">
        <f t="shared" si="28"/>
        <v>0</v>
      </c>
      <c r="K230" s="59">
        <f t="shared" ref="K230:K275" si="31">+IF(E230&lt;=($G$18*12),($E$22*0.6)/1000*$K$33,0)</f>
        <v>174</v>
      </c>
      <c r="L230" s="120">
        <f t="shared" si="24"/>
        <v>174</v>
      </c>
      <c r="M230" s="154"/>
      <c r="N230" s="160"/>
      <c r="O230" s="169"/>
      <c r="P230" s="169"/>
      <c r="Q230" s="169"/>
      <c r="R230" s="160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1"/>
    </row>
    <row r="231" spans="4:31" hidden="1" x14ac:dyDescent="0.25">
      <c r="D231" s="110"/>
      <c r="E231" s="55">
        <f t="shared" si="30"/>
        <v>196</v>
      </c>
      <c r="F231" s="56">
        <f t="shared" si="29"/>
        <v>0</v>
      </c>
      <c r="G231" s="57">
        <f t="shared" si="25"/>
        <v>0</v>
      </c>
      <c r="H231" s="58">
        <f t="shared" si="26"/>
        <v>0</v>
      </c>
      <c r="I231" s="57">
        <f t="shared" si="27"/>
        <v>0</v>
      </c>
      <c r="J231" s="59">
        <f t="shared" si="28"/>
        <v>0</v>
      </c>
      <c r="K231" s="59">
        <f t="shared" si="31"/>
        <v>174</v>
      </c>
      <c r="L231" s="120">
        <f t="shared" si="24"/>
        <v>174</v>
      </c>
      <c r="M231" s="154"/>
      <c r="N231" s="160"/>
      <c r="O231" s="169"/>
      <c r="P231" s="169"/>
      <c r="Q231" s="169"/>
      <c r="R231" s="160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1"/>
    </row>
    <row r="232" spans="4:31" hidden="1" x14ac:dyDescent="0.25">
      <c r="D232" s="110"/>
      <c r="E232" s="55">
        <f t="shared" si="30"/>
        <v>197</v>
      </c>
      <c r="F232" s="56">
        <f t="shared" si="29"/>
        <v>0</v>
      </c>
      <c r="G232" s="57">
        <f t="shared" si="25"/>
        <v>0</v>
      </c>
      <c r="H232" s="58">
        <f t="shared" si="26"/>
        <v>0</v>
      </c>
      <c r="I232" s="57">
        <f t="shared" si="27"/>
        <v>0</v>
      </c>
      <c r="J232" s="59">
        <f t="shared" si="28"/>
        <v>0</v>
      </c>
      <c r="K232" s="59">
        <f t="shared" si="31"/>
        <v>174</v>
      </c>
      <c r="L232" s="120">
        <f t="shared" si="24"/>
        <v>174</v>
      </c>
      <c r="M232" s="154"/>
      <c r="N232" s="160"/>
      <c r="O232" s="169"/>
      <c r="P232" s="169"/>
      <c r="Q232" s="169"/>
      <c r="R232" s="160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1"/>
    </row>
    <row r="233" spans="4:31" hidden="1" x14ac:dyDescent="0.25">
      <c r="D233" s="110"/>
      <c r="E233" s="55">
        <f t="shared" si="30"/>
        <v>198</v>
      </c>
      <c r="F233" s="56">
        <f t="shared" si="29"/>
        <v>0</v>
      </c>
      <c r="G233" s="57">
        <f t="shared" si="25"/>
        <v>0</v>
      </c>
      <c r="H233" s="58">
        <f t="shared" si="26"/>
        <v>0</v>
      </c>
      <c r="I233" s="57">
        <f t="shared" si="27"/>
        <v>0</v>
      </c>
      <c r="J233" s="59">
        <f t="shared" si="28"/>
        <v>0</v>
      </c>
      <c r="K233" s="59">
        <f t="shared" si="31"/>
        <v>174</v>
      </c>
      <c r="L233" s="120">
        <f t="shared" si="24"/>
        <v>174</v>
      </c>
      <c r="M233" s="154"/>
      <c r="N233" s="160"/>
      <c r="O233" s="169"/>
      <c r="P233" s="169"/>
      <c r="Q233" s="169"/>
      <c r="R233" s="160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1"/>
    </row>
    <row r="234" spans="4:31" hidden="1" x14ac:dyDescent="0.25">
      <c r="D234" s="110"/>
      <c r="E234" s="55">
        <f t="shared" si="30"/>
        <v>199</v>
      </c>
      <c r="F234" s="56">
        <f t="shared" si="29"/>
        <v>0</v>
      </c>
      <c r="G234" s="57">
        <f t="shared" si="25"/>
        <v>0</v>
      </c>
      <c r="H234" s="58">
        <f t="shared" si="26"/>
        <v>0</v>
      </c>
      <c r="I234" s="57">
        <f t="shared" si="27"/>
        <v>0</v>
      </c>
      <c r="J234" s="59">
        <f t="shared" si="28"/>
        <v>0</v>
      </c>
      <c r="K234" s="59">
        <f t="shared" si="31"/>
        <v>174</v>
      </c>
      <c r="L234" s="120">
        <f t="shared" si="24"/>
        <v>174</v>
      </c>
      <c r="M234" s="154"/>
      <c r="N234" s="160"/>
      <c r="O234" s="169"/>
      <c r="P234" s="169"/>
      <c r="Q234" s="169"/>
      <c r="R234" s="160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1"/>
    </row>
    <row r="235" spans="4:31" hidden="1" x14ac:dyDescent="0.25">
      <c r="D235" s="110"/>
      <c r="E235" s="55">
        <f t="shared" si="30"/>
        <v>200</v>
      </c>
      <c r="F235" s="56">
        <f t="shared" si="29"/>
        <v>0</v>
      </c>
      <c r="G235" s="57">
        <f t="shared" si="25"/>
        <v>0</v>
      </c>
      <c r="H235" s="58">
        <f t="shared" si="26"/>
        <v>0</v>
      </c>
      <c r="I235" s="57">
        <f t="shared" si="27"/>
        <v>0</v>
      </c>
      <c r="J235" s="59">
        <f t="shared" si="28"/>
        <v>0</v>
      </c>
      <c r="K235" s="59">
        <f t="shared" si="31"/>
        <v>174</v>
      </c>
      <c r="L235" s="120">
        <f t="shared" si="24"/>
        <v>174</v>
      </c>
      <c r="M235" s="154"/>
      <c r="N235" s="160"/>
      <c r="O235" s="169"/>
      <c r="P235" s="169"/>
      <c r="Q235" s="169"/>
      <c r="R235" s="160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1"/>
    </row>
    <row r="236" spans="4:31" hidden="1" x14ac:dyDescent="0.25">
      <c r="D236" s="110"/>
      <c r="E236" s="55">
        <f t="shared" si="30"/>
        <v>201</v>
      </c>
      <c r="F236" s="56">
        <f t="shared" si="29"/>
        <v>0</v>
      </c>
      <c r="G236" s="57">
        <f t="shared" si="25"/>
        <v>0</v>
      </c>
      <c r="H236" s="58">
        <f t="shared" si="26"/>
        <v>0</v>
      </c>
      <c r="I236" s="57">
        <f t="shared" si="27"/>
        <v>0</v>
      </c>
      <c r="J236" s="59">
        <f t="shared" si="28"/>
        <v>0</v>
      </c>
      <c r="K236" s="59">
        <f t="shared" si="31"/>
        <v>174</v>
      </c>
      <c r="L236" s="120">
        <f t="shared" si="24"/>
        <v>174</v>
      </c>
      <c r="M236" s="154"/>
      <c r="N236" s="160"/>
      <c r="O236" s="169"/>
      <c r="P236" s="169"/>
      <c r="Q236" s="169"/>
      <c r="R236" s="160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1"/>
    </row>
    <row r="237" spans="4:31" hidden="1" x14ac:dyDescent="0.25">
      <c r="D237" s="110"/>
      <c r="E237" s="55">
        <f t="shared" si="30"/>
        <v>202</v>
      </c>
      <c r="F237" s="56">
        <f t="shared" si="29"/>
        <v>0</v>
      </c>
      <c r="G237" s="57">
        <f t="shared" si="25"/>
        <v>0</v>
      </c>
      <c r="H237" s="58">
        <f t="shared" si="26"/>
        <v>0</v>
      </c>
      <c r="I237" s="57">
        <f t="shared" si="27"/>
        <v>0</v>
      </c>
      <c r="J237" s="59">
        <f t="shared" si="28"/>
        <v>0</v>
      </c>
      <c r="K237" s="59">
        <f t="shared" si="31"/>
        <v>174</v>
      </c>
      <c r="L237" s="120">
        <f t="shared" si="24"/>
        <v>174</v>
      </c>
      <c r="M237" s="154"/>
      <c r="N237" s="160"/>
      <c r="O237" s="169"/>
      <c r="P237" s="169"/>
      <c r="Q237" s="169"/>
      <c r="R237" s="160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1"/>
    </row>
    <row r="238" spans="4:31" hidden="1" x14ac:dyDescent="0.25">
      <c r="D238" s="110"/>
      <c r="E238" s="55">
        <f t="shared" si="30"/>
        <v>203</v>
      </c>
      <c r="F238" s="56">
        <f t="shared" si="29"/>
        <v>0</v>
      </c>
      <c r="G238" s="57">
        <f t="shared" si="25"/>
        <v>0</v>
      </c>
      <c r="H238" s="58">
        <f t="shared" si="26"/>
        <v>0</v>
      </c>
      <c r="I238" s="57">
        <f t="shared" si="27"/>
        <v>0</v>
      </c>
      <c r="J238" s="59">
        <f t="shared" si="28"/>
        <v>0</v>
      </c>
      <c r="K238" s="59">
        <f t="shared" si="31"/>
        <v>174</v>
      </c>
      <c r="L238" s="120">
        <f t="shared" si="24"/>
        <v>174</v>
      </c>
      <c r="M238" s="154"/>
      <c r="N238" s="160"/>
      <c r="O238" s="169"/>
      <c r="P238" s="169"/>
      <c r="Q238" s="169"/>
      <c r="R238" s="160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1"/>
    </row>
    <row r="239" spans="4:31" hidden="1" x14ac:dyDescent="0.25">
      <c r="D239" s="110"/>
      <c r="E239" s="55">
        <f t="shared" si="30"/>
        <v>204</v>
      </c>
      <c r="F239" s="56">
        <f t="shared" si="29"/>
        <v>0</v>
      </c>
      <c r="G239" s="57">
        <f t="shared" si="25"/>
        <v>0</v>
      </c>
      <c r="H239" s="58">
        <f t="shared" si="26"/>
        <v>0</v>
      </c>
      <c r="I239" s="57">
        <f t="shared" si="27"/>
        <v>0</v>
      </c>
      <c r="J239" s="59">
        <f t="shared" si="28"/>
        <v>0</v>
      </c>
      <c r="K239" s="59">
        <f t="shared" si="31"/>
        <v>174</v>
      </c>
      <c r="L239" s="120">
        <f t="shared" si="24"/>
        <v>174</v>
      </c>
      <c r="M239" s="154"/>
      <c r="N239" s="160"/>
      <c r="O239" s="169"/>
      <c r="P239" s="169"/>
      <c r="Q239" s="169"/>
      <c r="R239" s="160"/>
      <c r="S239" s="174"/>
      <c r="T239" s="174"/>
      <c r="U239" s="174"/>
      <c r="V239" s="174"/>
      <c r="W239" s="174"/>
      <c r="X239" s="174"/>
      <c r="Y239" s="174"/>
      <c r="Z239" s="174"/>
      <c r="AA239" s="174"/>
      <c r="AB239" s="174"/>
      <c r="AC239" s="174"/>
      <c r="AD239" s="174"/>
      <c r="AE239" s="171"/>
    </row>
    <row r="240" spans="4:31" hidden="1" x14ac:dyDescent="0.25">
      <c r="D240" s="110"/>
      <c r="E240" s="55">
        <f t="shared" si="30"/>
        <v>205</v>
      </c>
      <c r="F240" s="56">
        <f t="shared" si="29"/>
        <v>0</v>
      </c>
      <c r="G240" s="57">
        <f t="shared" si="25"/>
        <v>0</v>
      </c>
      <c r="H240" s="58">
        <f t="shared" si="26"/>
        <v>0</v>
      </c>
      <c r="I240" s="57">
        <f t="shared" si="27"/>
        <v>0</v>
      </c>
      <c r="J240" s="59">
        <f t="shared" si="28"/>
        <v>0</v>
      </c>
      <c r="K240" s="59">
        <f t="shared" si="31"/>
        <v>174</v>
      </c>
      <c r="L240" s="120">
        <f t="shared" si="24"/>
        <v>174</v>
      </c>
      <c r="M240" s="154"/>
      <c r="N240" s="160"/>
      <c r="O240" s="169"/>
      <c r="P240" s="169"/>
      <c r="Q240" s="169"/>
      <c r="R240" s="160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1"/>
    </row>
    <row r="241" spans="4:31" hidden="1" x14ac:dyDescent="0.25">
      <c r="D241" s="110"/>
      <c r="E241" s="55">
        <f t="shared" si="30"/>
        <v>206</v>
      </c>
      <c r="F241" s="56">
        <f t="shared" si="29"/>
        <v>0</v>
      </c>
      <c r="G241" s="57">
        <f t="shared" si="25"/>
        <v>0</v>
      </c>
      <c r="H241" s="58">
        <f t="shared" si="26"/>
        <v>0</v>
      </c>
      <c r="I241" s="57">
        <f t="shared" si="27"/>
        <v>0</v>
      </c>
      <c r="J241" s="59">
        <f t="shared" si="28"/>
        <v>0</v>
      </c>
      <c r="K241" s="59">
        <f t="shared" si="31"/>
        <v>174</v>
      </c>
      <c r="L241" s="120">
        <f t="shared" si="24"/>
        <v>174</v>
      </c>
      <c r="M241" s="154"/>
      <c r="N241" s="160"/>
      <c r="O241" s="169"/>
      <c r="P241" s="169"/>
      <c r="Q241" s="169"/>
      <c r="R241" s="160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C241" s="174"/>
      <c r="AD241" s="174"/>
      <c r="AE241" s="171"/>
    </row>
    <row r="242" spans="4:31" hidden="1" x14ac:dyDescent="0.25">
      <c r="D242" s="110"/>
      <c r="E242" s="55">
        <f t="shared" si="30"/>
        <v>207</v>
      </c>
      <c r="F242" s="56">
        <f t="shared" si="29"/>
        <v>0</v>
      </c>
      <c r="G242" s="57">
        <f t="shared" si="25"/>
        <v>0</v>
      </c>
      <c r="H242" s="58">
        <f t="shared" si="26"/>
        <v>0</v>
      </c>
      <c r="I242" s="57">
        <f t="shared" si="27"/>
        <v>0</v>
      </c>
      <c r="J242" s="59">
        <f t="shared" si="28"/>
        <v>0</v>
      </c>
      <c r="K242" s="59">
        <f t="shared" si="31"/>
        <v>174</v>
      </c>
      <c r="L242" s="120">
        <f t="shared" si="24"/>
        <v>174</v>
      </c>
      <c r="M242" s="154"/>
      <c r="N242" s="160"/>
      <c r="O242" s="169"/>
      <c r="P242" s="169"/>
      <c r="Q242" s="169"/>
      <c r="R242" s="160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1"/>
    </row>
    <row r="243" spans="4:31" hidden="1" x14ac:dyDescent="0.25">
      <c r="D243" s="110"/>
      <c r="E243" s="55">
        <f t="shared" si="30"/>
        <v>208</v>
      </c>
      <c r="F243" s="56">
        <f t="shared" si="29"/>
        <v>0</v>
      </c>
      <c r="G243" s="57">
        <f t="shared" si="25"/>
        <v>0</v>
      </c>
      <c r="H243" s="58">
        <f t="shared" si="26"/>
        <v>0</v>
      </c>
      <c r="I243" s="57">
        <f t="shared" si="27"/>
        <v>0</v>
      </c>
      <c r="J243" s="59">
        <f t="shared" si="28"/>
        <v>0</v>
      </c>
      <c r="K243" s="59">
        <f t="shared" si="31"/>
        <v>174</v>
      </c>
      <c r="L243" s="120">
        <f t="shared" si="24"/>
        <v>174</v>
      </c>
      <c r="M243" s="154"/>
      <c r="N243" s="160"/>
      <c r="O243" s="169"/>
      <c r="P243" s="169"/>
      <c r="Q243" s="169"/>
      <c r="R243" s="160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C243" s="174"/>
      <c r="AD243" s="174"/>
      <c r="AE243" s="171"/>
    </row>
    <row r="244" spans="4:31" hidden="1" x14ac:dyDescent="0.25">
      <c r="D244" s="110"/>
      <c r="E244" s="55">
        <f t="shared" si="30"/>
        <v>209</v>
      </c>
      <c r="F244" s="56">
        <f t="shared" si="29"/>
        <v>0</v>
      </c>
      <c r="G244" s="57">
        <f t="shared" si="25"/>
        <v>0</v>
      </c>
      <c r="H244" s="58">
        <f t="shared" si="26"/>
        <v>0</v>
      </c>
      <c r="I244" s="57">
        <f t="shared" si="27"/>
        <v>0</v>
      </c>
      <c r="J244" s="59">
        <f t="shared" si="28"/>
        <v>0</v>
      </c>
      <c r="K244" s="59">
        <f t="shared" si="31"/>
        <v>174</v>
      </c>
      <c r="L244" s="120">
        <f t="shared" si="24"/>
        <v>174</v>
      </c>
      <c r="M244" s="154"/>
      <c r="N244" s="160"/>
      <c r="O244" s="169"/>
      <c r="P244" s="169"/>
      <c r="Q244" s="169"/>
      <c r="R244" s="160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1"/>
    </row>
    <row r="245" spans="4:31" hidden="1" x14ac:dyDescent="0.25">
      <c r="D245" s="110"/>
      <c r="E245" s="55">
        <f t="shared" si="30"/>
        <v>210</v>
      </c>
      <c r="F245" s="56">
        <f t="shared" si="29"/>
        <v>0</v>
      </c>
      <c r="G245" s="57">
        <f t="shared" si="25"/>
        <v>0</v>
      </c>
      <c r="H245" s="58">
        <f t="shared" si="26"/>
        <v>0</v>
      </c>
      <c r="I245" s="57">
        <f t="shared" si="27"/>
        <v>0</v>
      </c>
      <c r="J245" s="59">
        <f t="shared" si="28"/>
        <v>0</v>
      </c>
      <c r="K245" s="59">
        <f t="shared" si="31"/>
        <v>174</v>
      </c>
      <c r="L245" s="120">
        <f t="shared" si="24"/>
        <v>174</v>
      </c>
      <c r="M245" s="154"/>
      <c r="N245" s="160"/>
      <c r="O245" s="169"/>
      <c r="P245" s="169"/>
      <c r="Q245" s="169"/>
      <c r="R245" s="160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1"/>
    </row>
    <row r="246" spans="4:31" hidden="1" x14ac:dyDescent="0.25">
      <c r="D246" s="110"/>
      <c r="E246" s="55">
        <f t="shared" si="30"/>
        <v>211</v>
      </c>
      <c r="F246" s="56">
        <f t="shared" si="29"/>
        <v>0</v>
      </c>
      <c r="G246" s="57">
        <f t="shared" si="25"/>
        <v>0</v>
      </c>
      <c r="H246" s="58">
        <f t="shared" si="26"/>
        <v>0</v>
      </c>
      <c r="I246" s="57">
        <f t="shared" si="27"/>
        <v>0</v>
      </c>
      <c r="J246" s="59">
        <f t="shared" si="28"/>
        <v>0</v>
      </c>
      <c r="K246" s="59">
        <f t="shared" si="31"/>
        <v>174</v>
      </c>
      <c r="L246" s="120">
        <f t="shared" si="24"/>
        <v>174</v>
      </c>
      <c r="M246" s="154"/>
      <c r="N246" s="160"/>
      <c r="O246" s="169"/>
      <c r="P246" s="169"/>
      <c r="Q246" s="169"/>
      <c r="R246" s="160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1"/>
    </row>
    <row r="247" spans="4:31" hidden="1" x14ac:dyDescent="0.25">
      <c r="D247" s="110"/>
      <c r="E247" s="55">
        <f t="shared" si="30"/>
        <v>212</v>
      </c>
      <c r="F247" s="56">
        <f t="shared" si="29"/>
        <v>0</v>
      </c>
      <c r="G247" s="57">
        <f t="shared" si="25"/>
        <v>0</v>
      </c>
      <c r="H247" s="58">
        <f t="shared" si="26"/>
        <v>0</v>
      </c>
      <c r="I247" s="57">
        <f t="shared" si="27"/>
        <v>0</v>
      </c>
      <c r="J247" s="59">
        <f t="shared" si="28"/>
        <v>0</v>
      </c>
      <c r="K247" s="59">
        <f t="shared" si="31"/>
        <v>174</v>
      </c>
      <c r="L247" s="120">
        <f t="shared" si="24"/>
        <v>174</v>
      </c>
      <c r="M247" s="154"/>
      <c r="N247" s="160"/>
      <c r="O247" s="169"/>
      <c r="P247" s="169"/>
      <c r="Q247" s="169"/>
      <c r="R247" s="160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1"/>
    </row>
    <row r="248" spans="4:31" hidden="1" x14ac:dyDescent="0.25">
      <c r="D248" s="110"/>
      <c r="E248" s="55">
        <f t="shared" si="30"/>
        <v>213</v>
      </c>
      <c r="F248" s="56">
        <f t="shared" si="29"/>
        <v>0</v>
      </c>
      <c r="G248" s="57">
        <f t="shared" si="25"/>
        <v>0</v>
      </c>
      <c r="H248" s="58">
        <f t="shared" si="26"/>
        <v>0</v>
      </c>
      <c r="I248" s="57">
        <f t="shared" si="27"/>
        <v>0</v>
      </c>
      <c r="J248" s="59">
        <f t="shared" si="28"/>
        <v>0</v>
      </c>
      <c r="K248" s="59">
        <f t="shared" si="31"/>
        <v>174</v>
      </c>
      <c r="L248" s="120">
        <f t="shared" si="24"/>
        <v>174</v>
      </c>
      <c r="M248" s="154"/>
      <c r="N248" s="160"/>
      <c r="O248" s="169"/>
      <c r="P248" s="169"/>
      <c r="Q248" s="169"/>
      <c r="R248" s="160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1"/>
    </row>
    <row r="249" spans="4:31" hidden="1" x14ac:dyDescent="0.25">
      <c r="D249" s="110"/>
      <c r="E249" s="55">
        <f t="shared" si="30"/>
        <v>214</v>
      </c>
      <c r="F249" s="56">
        <f t="shared" si="29"/>
        <v>0</v>
      </c>
      <c r="G249" s="57">
        <f t="shared" si="25"/>
        <v>0</v>
      </c>
      <c r="H249" s="58">
        <f t="shared" si="26"/>
        <v>0</v>
      </c>
      <c r="I249" s="57">
        <f t="shared" si="27"/>
        <v>0</v>
      </c>
      <c r="J249" s="59">
        <f t="shared" si="28"/>
        <v>0</v>
      </c>
      <c r="K249" s="59">
        <f t="shared" si="31"/>
        <v>174</v>
      </c>
      <c r="L249" s="120">
        <f t="shared" si="24"/>
        <v>174</v>
      </c>
      <c r="M249" s="154"/>
      <c r="N249" s="160"/>
      <c r="O249" s="169"/>
      <c r="P249" s="169"/>
      <c r="Q249" s="169"/>
      <c r="R249" s="160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1"/>
    </row>
    <row r="250" spans="4:31" hidden="1" x14ac:dyDescent="0.25">
      <c r="D250" s="110"/>
      <c r="E250" s="55">
        <f t="shared" si="30"/>
        <v>215</v>
      </c>
      <c r="F250" s="56">
        <f t="shared" si="29"/>
        <v>0</v>
      </c>
      <c r="G250" s="57">
        <f t="shared" si="25"/>
        <v>0</v>
      </c>
      <c r="H250" s="58">
        <f t="shared" si="26"/>
        <v>0</v>
      </c>
      <c r="I250" s="57">
        <f t="shared" si="27"/>
        <v>0</v>
      </c>
      <c r="J250" s="59">
        <f t="shared" si="28"/>
        <v>0</v>
      </c>
      <c r="K250" s="59">
        <f t="shared" si="31"/>
        <v>174</v>
      </c>
      <c r="L250" s="120">
        <f t="shared" si="24"/>
        <v>174</v>
      </c>
      <c r="M250" s="154"/>
      <c r="N250" s="160"/>
      <c r="O250" s="169"/>
      <c r="P250" s="169"/>
      <c r="Q250" s="169"/>
      <c r="R250" s="160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1"/>
    </row>
    <row r="251" spans="4:31" hidden="1" x14ac:dyDescent="0.25">
      <c r="D251" s="110"/>
      <c r="E251" s="55">
        <f t="shared" si="30"/>
        <v>216</v>
      </c>
      <c r="F251" s="56">
        <f t="shared" si="29"/>
        <v>0</v>
      </c>
      <c r="G251" s="57">
        <f t="shared" si="25"/>
        <v>0</v>
      </c>
      <c r="H251" s="58">
        <f t="shared" si="26"/>
        <v>0</v>
      </c>
      <c r="I251" s="57">
        <f t="shared" si="27"/>
        <v>0</v>
      </c>
      <c r="J251" s="59">
        <f t="shared" si="28"/>
        <v>0</v>
      </c>
      <c r="K251" s="59">
        <f t="shared" si="31"/>
        <v>174</v>
      </c>
      <c r="L251" s="120">
        <f t="shared" si="24"/>
        <v>174</v>
      </c>
      <c r="M251" s="154"/>
      <c r="N251" s="160"/>
      <c r="O251" s="169"/>
      <c r="P251" s="169"/>
      <c r="Q251" s="169"/>
      <c r="R251" s="160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1"/>
    </row>
    <row r="252" spans="4:31" hidden="1" x14ac:dyDescent="0.25">
      <c r="D252" s="110"/>
      <c r="E252" s="55">
        <f t="shared" si="30"/>
        <v>217</v>
      </c>
      <c r="F252" s="56">
        <f t="shared" si="29"/>
        <v>0</v>
      </c>
      <c r="G252" s="57">
        <f t="shared" si="25"/>
        <v>0</v>
      </c>
      <c r="H252" s="58">
        <f t="shared" si="26"/>
        <v>0</v>
      </c>
      <c r="I252" s="57">
        <f t="shared" si="27"/>
        <v>0</v>
      </c>
      <c r="J252" s="59">
        <f t="shared" si="28"/>
        <v>0</v>
      </c>
      <c r="K252" s="59">
        <f t="shared" si="31"/>
        <v>174</v>
      </c>
      <c r="L252" s="120">
        <f t="shared" si="24"/>
        <v>174</v>
      </c>
      <c r="M252" s="154"/>
      <c r="N252" s="160"/>
      <c r="O252" s="169"/>
      <c r="P252" s="169"/>
      <c r="Q252" s="169"/>
      <c r="R252" s="160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1"/>
    </row>
    <row r="253" spans="4:31" hidden="1" x14ac:dyDescent="0.25">
      <c r="D253" s="110"/>
      <c r="E253" s="55">
        <f t="shared" si="30"/>
        <v>218</v>
      </c>
      <c r="F253" s="56">
        <f t="shared" si="29"/>
        <v>0</v>
      </c>
      <c r="G253" s="57">
        <f t="shared" si="25"/>
        <v>0</v>
      </c>
      <c r="H253" s="58">
        <f t="shared" si="26"/>
        <v>0</v>
      </c>
      <c r="I253" s="57">
        <f t="shared" si="27"/>
        <v>0</v>
      </c>
      <c r="J253" s="59">
        <f t="shared" si="28"/>
        <v>0</v>
      </c>
      <c r="K253" s="59">
        <f t="shared" si="31"/>
        <v>174</v>
      </c>
      <c r="L253" s="120">
        <f t="shared" si="24"/>
        <v>174</v>
      </c>
      <c r="M253" s="154"/>
      <c r="N253" s="160"/>
      <c r="O253" s="169"/>
      <c r="P253" s="169"/>
      <c r="Q253" s="169"/>
      <c r="R253" s="160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1"/>
    </row>
    <row r="254" spans="4:31" hidden="1" x14ac:dyDescent="0.25">
      <c r="D254" s="110"/>
      <c r="E254" s="55">
        <f t="shared" si="30"/>
        <v>219</v>
      </c>
      <c r="F254" s="56">
        <f t="shared" si="29"/>
        <v>0</v>
      </c>
      <c r="G254" s="57">
        <f t="shared" si="25"/>
        <v>0</v>
      </c>
      <c r="H254" s="58">
        <f t="shared" si="26"/>
        <v>0</v>
      </c>
      <c r="I254" s="57">
        <f t="shared" si="27"/>
        <v>0</v>
      </c>
      <c r="J254" s="59">
        <f t="shared" si="28"/>
        <v>0</v>
      </c>
      <c r="K254" s="59">
        <f t="shared" si="31"/>
        <v>174</v>
      </c>
      <c r="L254" s="120">
        <f t="shared" si="24"/>
        <v>174</v>
      </c>
      <c r="M254" s="154"/>
      <c r="N254" s="160"/>
      <c r="O254" s="169"/>
      <c r="P254" s="169"/>
      <c r="Q254" s="169"/>
      <c r="R254" s="160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1"/>
    </row>
    <row r="255" spans="4:31" hidden="1" x14ac:dyDescent="0.25">
      <c r="D255" s="110"/>
      <c r="E255" s="55">
        <f t="shared" si="30"/>
        <v>220</v>
      </c>
      <c r="F255" s="56">
        <f t="shared" si="29"/>
        <v>0</v>
      </c>
      <c r="G255" s="57">
        <f t="shared" si="25"/>
        <v>0</v>
      </c>
      <c r="H255" s="58">
        <f t="shared" si="26"/>
        <v>0</v>
      </c>
      <c r="I255" s="57">
        <f t="shared" si="27"/>
        <v>0</v>
      </c>
      <c r="J255" s="59">
        <f t="shared" si="28"/>
        <v>0</v>
      </c>
      <c r="K255" s="59">
        <f t="shared" si="31"/>
        <v>174</v>
      </c>
      <c r="L255" s="120">
        <f t="shared" si="24"/>
        <v>174</v>
      </c>
      <c r="M255" s="154"/>
      <c r="N255" s="160"/>
      <c r="O255" s="169"/>
      <c r="P255" s="169"/>
      <c r="Q255" s="169"/>
      <c r="R255" s="160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74"/>
      <c r="AC255" s="174"/>
      <c r="AD255" s="174"/>
      <c r="AE255" s="171"/>
    </row>
    <row r="256" spans="4:31" hidden="1" x14ac:dyDescent="0.25">
      <c r="D256" s="110"/>
      <c r="E256" s="55">
        <f t="shared" si="30"/>
        <v>221</v>
      </c>
      <c r="F256" s="56">
        <f t="shared" si="29"/>
        <v>0</v>
      </c>
      <c r="G256" s="57">
        <f t="shared" si="25"/>
        <v>0</v>
      </c>
      <c r="H256" s="58">
        <f t="shared" si="26"/>
        <v>0</v>
      </c>
      <c r="I256" s="57">
        <f t="shared" si="27"/>
        <v>0</v>
      </c>
      <c r="J256" s="59">
        <f t="shared" si="28"/>
        <v>0</v>
      </c>
      <c r="K256" s="59">
        <f t="shared" si="31"/>
        <v>174</v>
      </c>
      <c r="L256" s="120">
        <f t="shared" si="24"/>
        <v>174</v>
      </c>
      <c r="M256" s="154"/>
      <c r="N256" s="160"/>
      <c r="O256" s="169"/>
      <c r="P256" s="169"/>
      <c r="Q256" s="169"/>
      <c r="R256" s="160"/>
      <c r="S256" s="174"/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1"/>
    </row>
    <row r="257" spans="4:31" hidden="1" x14ac:dyDescent="0.25">
      <c r="D257" s="110"/>
      <c r="E257" s="55">
        <f t="shared" si="30"/>
        <v>222</v>
      </c>
      <c r="F257" s="56">
        <f t="shared" si="29"/>
        <v>0</v>
      </c>
      <c r="G257" s="57">
        <f t="shared" si="25"/>
        <v>0</v>
      </c>
      <c r="H257" s="58">
        <f t="shared" si="26"/>
        <v>0</v>
      </c>
      <c r="I257" s="57">
        <f t="shared" si="27"/>
        <v>0</v>
      </c>
      <c r="J257" s="59">
        <f t="shared" si="28"/>
        <v>0</v>
      </c>
      <c r="K257" s="59">
        <f t="shared" si="31"/>
        <v>174</v>
      </c>
      <c r="L257" s="120">
        <f t="shared" si="24"/>
        <v>174</v>
      </c>
      <c r="M257" s="154"/>
      <c r="N257" s="160"/>
      <c r="O257" s="169"/>
      <c r="P257" s="169"/>
      <c r="Q257" s="169"/>
      <c r="R257" s="160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1"/>
    </row>
    <row r="258" spans="4:31" hidden="1" x14ac:dyDescent="0.25">
      <c r="D258" s="110"/>
      <c r="E258" s="55">
        <f t="shared" si="30"/>
        <v>223</v>
      </c>
      <c r="F258" s="56">
        <f t="shared" si="29"/>
        <v>0</v>
      </c>
      <c r="G258" s="57">
        <f t="shared" si="25"/>
        <v>0</v>
      </c>
      <c r="H258" s="58">
        <f t="shared" si="26"/>
        <v>0</v>
      </c>
      <c r="I258" s="57">
        <f t="shared" si="27"/>
        <v>0</v>
      </c>
      <c r="J258" s="59">
        <f t="shared" si="28"/>
        <v>0</v>
      </c>
      <c r="K258" s="59">
        <f t="shared" si="31"/>
        <v>174</v>
      </c>
      <c r="L258" s="120">
        <f t="shared" si="24"/>
        <v>174</v>
      </c>
      <c r="M258" s="154"/>
      <c r="N258" s="160"/>
      <c r="O258" s="169"/>
      <c r="P258" s="169"/>
      <c r="Q258" s="169"/>
      <c r="R258" s="160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1"/>
    </row>
    <row r="259" spans="4:31" hidden="1" x14ac:dyDescent="0.25">
      <c r="D259" s="110"/>
      <c r="E259" s="55">
        <f t="shared" si="30"/>
        <v>224</v>
      </c>
      <c r="F259" s="56">
        <f t="shared" si="29"/>
        <v>0</v>
      </c>
      <c r="G259" s="57">
        <f t="shared" si="25"/>
        <v>0</v>
      </c>
      <c r="H259" s="58">
        <f t="shared" si="26"/>
        <v>0</v>
      </c>
      <c r="I259" s="57">
        <f t="shared" si="27"/>
        <v>0</v>
      </c>
      <c r="J259" s="59">
        <f t="shared" si="28"/>
        <v>0</v>
      </c>
      <c r="K259" s="59">
        <f t="shared" si="31"/>
        <v>174</v>
      </c>
      <c r="L259" s="120">
        <f t="shared" si="24"/>
        <v>174</v>
      </c>
      <c r="M259" s="154"/>
      <c r="N259" s="160"/>
      <c r="O259" s="169"/>
      <c r="P259" s="169"/>
      <c r="Q259" s="169"/>
      <c r="R259" s="160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1"/>
    </row>
    <row r="260" spans="4:31" hidden="1" x14ac:dyDescent="0.25">
      <c r="D260" s="110"/>
      <c r="E260" s="55">
        <f t="shared" si="30"/>
        <v>225</v>
      </c>
      <c r="F260" s="56">
        <f t="shared" si="29"/>
        <v>0</v>
      </c>
      <c r="G260" s="57">
        <f t="shared" si="25"/>
        <v>0</v>
      </c>
      <c r="H260" s="58">
        <f t="shared" si="26"/>
        <v>0</v>
      </c>
      <c r="I260" s="57">
        <f t="shared" si="27"/>
        <v>0</v>
      </c>
      <c r="J260" s="59">
        <f t="shared" si="28"/>
        <v>0</v>
      </c>
      <c r="K260" s="59">
        <f t="shared" si="31"/>
        <v>174</v>
      </c>
      <c r="L260" s="120">
        <f t="shared" si="24"/>
        <v>174</v>
      </c>
      <c r="M260" s="154"/>
      <c r="N260" s="160"/>
      <c r="O260" s="169"/>
      <c r="P260" s="169"/>
      <c r="Q260" s="169"/>
      <c r="R260" s="160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1"/>
    </row>
    <row r="261" spans="4:31" hidden="1" x14ac:dyDescent="0.25">
      <c r="D261" s="110"/>
      <c r="E261" s="55">
        <f t="shared" si="30"/>
        <v>226</v>
      </c>
      <c r="F261" s="56">
        <f t="shared" si="29"/>
        <v>0</v>
      </c>
      <c r="G261" s="57">
        <f t="shared" si="25"/>
        <v>0</v>
      </c>
      <c r="H261" s="58">
        <f t="shared" si="26"/>
        <v>0</v>
      </c>
      <c r="I261" s="57">
        <f t="shared" si="27"/>
        <v>0</v>
      </c>
      <c r="J261" s="59">
        <f t="shared" si="28"/>
        <v>0</v>
      </c>
      <c r="K261" s="59">
        <f t="shared" si="31"/>
        <v>174</v>
      </c>
      <c r="L261" s="120">
        <f t="shared" si="24"/>
        <v>174</v>
      </c>
      <c r="M261" s="154"/>
      <c r="N261" s="160"/>
      <c r="O261" s="169"/>
      <c r="P261" s="169"/>
      <c r="Q261" s="169"/>
      <c r="R261" s="160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1"/>
    </row>
    <row r="262" spans="4:31" hidden="1" x14ac:dyDescent="0.25">
      <c r="D262" s="110"/>
      <c r="E262" s="55">
        <f t="shared" si="30"/>
        <v>227</v>
      </c>
      <c r="F262" s="56">
        <f t="shared" si="29"/>
        <v>0</v>
      </c>
      <c r="G262" s="57">
        <f t="shared" si="25"/>
        <v>0</v>
      </c>
      <c r="H262" s="58">
        <f t="shared" si="26"/>
        <v>0</v>
      </c>
      <c r="I262" s="57">
        <f t="shared" si="27"/>
        <v>0</v>
      </c>
      <c r="J262" s="59">
        <f t="shared" si="28"/>
        <v>0</v>
      </c>
      <c r="K262" s="59">
        <f t="shared" si="31"/>
        <v>174</v>
      </c>
      <c r="L262" s="120">
        <f t="shared" si="24"/>
        <v>174</v>
      </c>
      <c r="M262" s="154"/>
      <c r="N262" s="160"/>
      <c r="O262" s="169"/>
      <c r="P262" s="169"/>
      <c r="Q262" s="169"/>
      <c r="R262" s="160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1"/>
    </row>
    <row r="263" spans="4:31" hidden="1" x14ac:dyDescent="0.25">
      <c r="D263" s="110"/>
      <c r="E263" s="55">
        <f t="shared" si="30"/>
        <v>228</v>
      </c>
      <c r="F263" s="56">
        <f t="shared" si="29"/>
        <v>0</v>
      </c>
      <c r="G263" s="57">
        <f t="shared" si="25"/>
        <v>0</v>
      </c>
      <c r="H263" s="58">
        <f t="shared" si="26"/>
        <v>0</v>
      </c>
      <c r="I263" s="57">
        <f t="shared" si="27"/>
        <v>0</v>
      </c>
      <c r="J263" s="59">
        <f t="shared" si="28"/>
        <v>0</v>
      </c>
      <c r="K263" s="59">
        <f t="shared" si="31"/>
        <v>174</v>
      </c>
      <c r="L263" s="120">
        <f t="shared" si="24"/>
        <v>174</v>
      </c>
      <c r="M263" s="154"/>
      <c r="N263" s="160"/>
      <c r="O263" s="169"/>
      <c r="P263" s="169"/>
      <c r="Q263" s="169"/>
      <c r="R263" s="160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1"/>
    </row>
    <row r="264" spans="4:31" hidden="1" x14ac:dyDescent="0.25">
      <c r="D264" s="110"/>
      <c r="E264" s="55">
        <f t="shared" si="30"/>
        <v>229</v>
      </c>
      <c r="F264" s="56">
        <f t="shared" si="29"/>
        <v>0</v>
      </c>
      <c r="G264" s="57">
        <f t="shared" si="25"/>
        <v>0</v>
      </c>
      <c r="H264" s="58">
        <f t="shared" si="26"/>
        <v>0</v>
      </c>
      <c r="I264" s="57">
        <f t="shared" si="27"/>
        <v>0</v>
      </c>
      <c r="J264" s="59">
        <f t="shared" si="28"/>
        <v>0</v>
      </c>
      <c r="K264" s="59">
        <f t="shared" si="31"/>
        <v>174</v>
      </c>
      <c r="L264" s="120">
        <f t="shared" si="24"/>
        <v>174</v>
      </c>
      <c r="M264" s="154"/>
      <c r="N264" s="160"/>
      <c r="O264" s="169"/>
      <c r="P264" s="169"/>
      <c r="Q264" s="169"/>
      <c r="R264" s="160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1"/>
    </row>
    <row r="265" spans="4:31" hidden="1" x14ac:dyDescent="0.25">
      <c r="D265" s="110"/>
      <c r="E265" s="55">
        <f t="shared" si="30"/>
        <v>230</v>
      </c>
      <c r="F265" s="56">
        <f t="shared" si="29"/>
        <v>0</v>
      </c>
      <c r="G265" s="57">
        <f t="shared" si="25"/>
        <v>0</v>
      </c>
      <c r="H265" s="58">
        <f t="shared" si="26"/>
        <v>0</v>
      </c>
      <c r="I265" s="57">
        <f t="shared" si="27"/>
        <v>0</v>
      </c>
      <c r="J265" s="59">
        <f t="shared" si="28"/>
        <v>0</v>
      </c>
      <c r="K265" s="59">
        <f t="shared" si="31"/>
        <v>174</v>
      </c>
      <c r="L265" s="120">
        <f t="shared" si="24"/>
        <v>174</v>
      </c>
      <c r="M265" s="154"/>
      <c r="N265" s="160"/>
      <c r="O265" s="169"/>
      <c r="P265" s="169"/>
      <c r="Q265" s="169"/>
      <c r="R265" s="160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1"/>
    </row>
    <row r="266" spans="4:31" hidden="1" x14ac:dyDescent="0.25">
      <c r="D266" s="110"/>
      <c r="E266" s="55">
        <f t="shared" si="30"/>
        <v>231</v>
      </c>
      <c r="F266" s="56">
        <f t="shared" si="29"/>
        <v>0</v>
      </c>
      <c r="G266" s="57">
        <f t="shared" si="25"/>
        <v>0</v>
      </c>
      <c r="H266" s="58">
        <f t="shared" si="26"/>
        <v>0</v>
      </c>
      <c r="I266" s="57">
        <f t="shared" si="27"/>
        <v>0</v>
      </c>
      <c r="J266" s="59">
        <f t="shared" si="28"/>
        <v>0</v>
      </c>
      <c r="K266" s="59">
        <f t="shared" si="31"/>
        <v>174</v>
      </c>
      <c r="L266" s="120">
        <f t="shared" si="24"/>
        <v>174</v>
      </c>
      <c r="M266" s="154"/>
      <c r="N266" s="160"/>
      <c r="O266" s="169"/>
      <c r="P266" s="169"/>
      <c r="Q266" s="169"/>
      <c r="R266" s="160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1"/>
    </row>
    <row r="267" spans="4:31" hidden="1" x14ac:dyDescent="0.25">
      <c r="D267" s="110"/>
      <c r="E267" s="55">
        <f t="shared" si="30"/>
        <v>232</v>
      </c>
      <c r="F267" s="56">
        <f t="shared" si="29"/>
        <v>0</v>
      </c>
      <c r="G267" s="57">
        <f t="shared" si="25"/>
        <v>0</v>
      </c>
      <c r="H267" s="58">
        <f t="shared" si="26"/>
        <v>0</v>
      </c>
      <c r="I267" s="57">
        <f t="shared" si="27"/>
        <v>0</v>
      </c>
      <c r="J267" s="59">
        <f t="shared" si="28"/>
        <v>0</v>
      </c>
      <c r="K267" s="59">
        <f t="shared" si="31"/>
        <v>174</v>
      </c>
      <c r="L267" s="120">
        <f t="shared" si="24"/>
        <v>174</v>
      </c>
      <c r="M267" s="154"/>
      <c r="N267" s="160"/>
      <c r="O267" s="169"/>
      <c r="P267" s="169"/>
      <c r="Q267" s="169"/>
      <c r="R267" s="160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1"/>
    </row>
    <row r="268" spans="4:31" hidden="1" x14ac:dyDescent="0.25">
      <c r="D268" s="110"/>
      <c r="E268" s="55">
        <f t="shared" si="30"/>
        <v>233</v>
      </c>
      <c r="F268" s="56">
        <f t="shared" si="29"/>
        <v>0</v>
      </c>
      <c r="G268" s="57">
        <f t="shared" si="25"/>
        <v>0</v>
      </c>
      <c r="H268" s="58">
        <f t="shared" si="26"/>
        <v>0</v>
      </c>
      <c r="I268" s="57">
        <f t="shared" si="27"/>
        <v>0</v>
      </c>
      <c r="J268" s="59">
        <f t="shared" si="28"/>
        <v>0</v>
      </c>
      <c r="K268" s="59">
        <f t="shared" si="31"/>
        <v>174</v>
      </c>
      <c r="L268" s="120">
        <f t="shared" si="24"/>
        <v>174</v>
      </c>
      <c r="M268" s="154"/>
      <c r="N268" s="160"/>
      <c r="O268" s="169"/>
      <c r="P268" s="169"/>
      <c r="Q268" s="169"/>
      <c r="R268" s="160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1"/>
    </row>
    <row r="269" spans="4:31" hidden="1" x14ac:dyDescent="0.25">
      <c r="D269" s="110"/>
      <c r="E269" s="55">
        <f t="shared" si="30"/>
        <v>234</v>
      </c>
      <c r="F269" s="56">
        <f t="shared" si="29"/>
        <v>0</v>
      </c>
      <c r="G269" s="57">
        <f t="shared" si="25"/>
        <v>0</v>
      </c>
      <c r="H269" s="58">
        <f t="shared" si="26"/>
        <v>0</v>
      </c>
      <c r="I269" s="57">
        <f t="shared" si="27"/>
        <v>0</v>
      </c>
      <c r="J269" s="59">
        <f t="shared" si="28"/>
        <v>0</v>
      </c>
      <c r="K269" s="59">
        <f t="shared" si="31"/>
        <v>174</v>
      </c>
      <c r="L269" s="120">
        <f t="shared" si="24"/>
        <v>174</v>
      </c>
      <c r="M269" s="154"/>
      <c r="N269" s="160"/>
      <c r="O269" s="169"/>
      <c r="P269" s="169"/>
      <c r="Q269" s="169"/>
      <c r="R269" s="160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1"/>
    </row>
    <row r="270" spans="4:31" hidden="1" x14ac:dyDescent="0.25">
      <c r="D270" s="110"/>
      <c r="E270" s="55">
        <f t="shared" si="30"/>
        <v>235</v>
      </c>
      <c r="F270" s="56">
        <f t="shared" si="29"/>
        <v>0</v>
      </c>
      <c r="G270" s="57">
        <f t="shared" si="25"/>
        <v>0</v>
      </c>
      <c r="H270" s="58">
        <f t="shared" si="26"/>
        <v>0</v>
      </c>
      <c r="I270" s="57">
        <f t="shared" si="27"/>
        <v>0</v>
      </c>
      <c r="J270" s="59">
        <f t="shared" si="28"/>
        <v>0</v>
      </c>
      <c r="K270" s="59">
        <f t="shared" si="31"/>
        <v>174</v>
      </c>
      <c r="L270" s="120">
        <f t="shared" si="24"/>
        <v>174</v>
      </c>
      <c r="M270" s="154"/>
      <c r="N270" s="160"/>
      <c r="O270" s="169"/>
      <c r="P270" s="169"/>
      <c r="Q270" s="169"/>
      <c r="R270" s="160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1"/>
    </row>
    <row r="271" spans="4:31" hidden="1" x14ac:dyDescent="0.25">
      <c r="D271" s="110"/>
      <c r="E271" s="55">
        <f t="shared" si="30"/>
        <v>236</v>
      </c>
      <c r="F271" s="56">
        <f t="shared" si="29"/>
        <v>0</v>
      </c>
      <c r="G271" s="57">
        <f t="shared" si="25"/>
        <v>0</v>
      </c>
      <c r="H271" s="58">
        <f t="shared" si="26"/>
        <v>0</v>
      </c>
      <c r="I271" s="57">
        <f t="shared" si="27"/>
        <v>0</v>
      </c>
      <c r="J271" s="59">
        <f t="shared" si="28"/>
        <v>0</v>
      </c>
      <c r="K271" s="59">
        <f t="shared" si="31"/>
        <v>174</v>
      </c>
      <c r="L271" s="120">
        <f t="shared" si="24"/>
        <v>174</v>
      </c>
      <c r="M271" s="154"/>
      <c r="N271" s="160"/>
      <c r="O271" s="169"/>
      <c r="P271" s="169"/>
      <c r="Q271" s="169"/>
      <c r="R271" s="160"/>
      <c r="S271" s="174"/>
      <c r="T271" s="174"/>
      <c r="U271" s="174"/>
      <c r="V271" s="174"/>
      <c r="W271" s="174"/>
      <c r="X271" s="174"/>
      <c r="Y271" s="174"/>
      <c r="Z271" s="174"/>
      <c r="AA271" s="174"/>
      <c r="AB271" s="174"/>
      <c r="AC271" s="174"/>
      <c r="AD271" s="174"/>
      <c r="AE271" s="171"/>
    </row>
    <row r="272" spans="4:31" hidden="1" x14ac:dyDescent="0.25">
      <c r="D272" s="110"/>
      <c r="E272" s="55">
        <f t="shared" si="30"/>
        <v>237</v>
      </c>
      <c r="F272" s="56">
        <f t="shared" si="29"/>
        <v>0</v>
      </c>
      <c r="G272" s="57">
        <f t="shared" si="25"/>
        <v>0</v>
      </c>
      <c r="H272" s="58">
        <f t="shared" si="26"/>
        <v>0</v>
      </c>
      <c r="I272" s="57">
        <f t="shared" si="27"/>
        <v>0</v>
      </c>
      <c r="J272" s="59">
        <f t="shared" si="28"/>
        <v>0</v>
      </c>
      <c r="K272" s="59">
        <f t="shared" si="31"/>
        <v>174</v>
      </c>
      <c r="L272" s="120">
        <f t="shared" si="24"/>
        <v>174</v>
      </c>
      <c r="M272" s="154"/>
      <c r="N272" s="160"/>
      <c r="O272" s="169"/>
      <c r="P272" s="169"/>
      <c r="Q272" s="169"/>
      <c r="R272" s="160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1"/>
    </row>
    <row r="273" spans="4:31" hidden="1" x14ac:dyDescent="0.25">
      <c r="D273" s="110"/>
      <c r="E273" s="55">
        <f t="shared" si="30"/>
        <v>238</v>
      </c>
      <c r="F273" s="56">
        <f t="shared" si="29"/>
        <v>0</v>
      </c>
      <c r="G273" s="57">
        <f t="shared" si="25"/>
        <v>0</v>
      </c>
      <c r="H273" s="58">
        <f t="shared" si="26"/>
        <v>0</v>
      </c>
      <c r="I273" s="57">
        <f t="shared" si="27"/>
        <v>0</v>
      </c>
      <c r="J273" s="59">
        <f t="shared" si="28"/>
        <v>0</v>
      </c>
      <c r="K273" s="59">
        <f t="shared" si="31"/>
        <v>174</v>
      </c>
      <c r="L273" s="120">
        <f t="shared" si="24"/>
        <v>174</v>
      </c>
      <c r="M273" s="154"/>
      <c r="N273" s="160"/>
      <c r="O273" s="169"/>
      <c r="P273" s="169"/>
      <c r="Q273" s="169"/>
      <c r="R273" s="160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1"/>
    </row>
    <row r="274" spans="4:31" hidden="1" x14ac:dyDescent="0.25">
      <c r="D274" s="110"/>
      <c r="E274" s="55">
        <f t="shared" si="30"/>
        <v>239</v>
      </c>
      <c r="F274" s="56">
        <f t="shared" si="29"/>
        <v>0</v>
      </c>
      <c r="G274" s="57">
        <f t="shared" si="25"/>
        <v>0</v>
      </c>
      <c r="H274" s="58">
        <f t="shared" si="26"/>
        <v>0</v>
      </c>
      <c r="I274" s="57">
        <f t="shared" si="27"/>
        <v>0</v>
      </c>
      <c r="J274" s="59">
        <f t="shared" si="28"/>
        <v>0</v>
      </c>
      <c r="K274" s="59">
        <f t="shared" si="31"/>
        <v>174</v>
      </c>
      <c r="L274" s="120">
        <f t="shared" si="24"/>
        <v>174</v>
      </c>
      <c r="M274" s="154"/>
      <c r="N274" s="160"/>
      <c r="O274" s="169"/>
      <c r="P274" s="169"/>
      <c r="Q274" s="169"/>
      <c r="R274" s="160"/>
      <c r="S274" s="174"/>
      <c r="T274" s="174"/>
      <c r="U274" s="174"/>
      <c r="V274" s="174"/>
      <c r="W274" s="174"/>
      <c r="X274" s="174"/>
      <c r="Y274" s="174"/>
      <c r="Z274" s="174"/>
      <c r="AA274" s="174"/>
      <c r="AB274" s="174"/>
      <c r="AC274" s="174"/>
      <c r="AD274" s="174"/>
      <c r="AE274" s="171"/>
    </row>
    <row r="275" spans="4:31" hidden="1" x14ac:dyDescent="0.25">
      <c r="D275" s="110"/>
      <c r="E275" s="55">
        <f t="shared" si="30"/>
        <v>240</v>
      </c>
      <c r="F275" s="56">
        <f t="shared" si="29"/>
        <v>0</v>
      </c>
      <c r="G275" s="57">
        <f t="shared" si="25"/>
        <v>0</v>
      </c>
      <c r="H275" s="58">
        <f t="shared" si="26"/>
        <v>0</v>
      </c>
      <c r="I275" s="57">
        <f t="shared" si="27"/>
        <v>0</v>
      </c>
      <c r="J275" s="59">
        <f t="shared" si="28"/>
        <v>0</v>
      </c>
      <c r="K275" s="59">
        <f t="shared" si="31"/>
        <v>174</v>
      </c>
      <c r="L275" s="120">
        <f t="shared" si="24"/>
        <v>174</v>
      </c>
      <c r="M275" s="154"/>
      <c r="N275" s="160"/>
      <c r="O275" s="169"/>
      <c r="P275" s="169"/>
      <c r="Q275" s="169"/>
      <c r="R275" s="160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4"/>
      <c r="AE275" s="171"/>
    </row>
    <row r="276" spans="4:31" hidden="1" x14ac:dyDescent="0.25">
      <c r="D276" s="110"/>
      <c r="E276" s="61" t="s">
        <v>0</v>
      </c>
      <c r="F276" s="62"/>
      <c r="G276" s="63">
        <f t="shared" ref="G276:L276" si="32">SUM(G36:G275)</f>
        <v>0</v>
      </c>
      <c r="H276" s="63">
        <f>SUM(H36:H275)</f>
        <v>0</v>
      </c>
      <c r="I276" s="63">
        <f t="shared" si="32"/>
        <v>0</v>
      </c>
      <c r="J276" s="63">
        <f t="shared" si="32"/>
        <v>0</v>
      </c>
      <c r="K276" s="63">
        <f t="shared" si="32"/>
        <v>41760</v>
      </c>
      <c r="L276" s="121">
        <f t="shared" si="32"/>
        <v>41760</v>
      </c>
      <c r="M276" s="155"/>
      <c r="N276" s="160"/>
      <c r="O276" s="169"/>
      <c r="P276" s="169"/>
      <c r="Q276" s="169"/>
      <c r="R276" s="160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1"/>
    </row>
    <row r="277" spans="4:31" x14ac:dyDescent="0.25">
      <c r="D277" s="110"/>
      <c r="E277" s="91"/>
      <c r="F277" s="91"/>
      <c r="G277" s="91"/>
      <c r="H277" s="91"/>
      <c r="I277" s="91"/>
      <c r="J277" s="91"/>
      <c r="K277" s="91"/>
      <c r="L277" s="111"/>
      <c r="M277" s="147"/>
      <c r="N277" s="169"/>
      <c r="O277" s="169"/>
      <c r="P277" s="169"/>
      <c r="Q277" s="169"/>
      <c r="R277" s="160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1"/>
    </row>
    <row r="278" spans="4:31" x14ac:dyDescent="0.25">
      <c r="D278" s="110"/>
      <c r="E278" s="91"/>
      <c r="F278" s="91"/>
      <c r="G278" s="91"/>
      <c r="H278" s="91"/>
      <c r="I278" s="91"/>
      <c r="J278" s="91"/>
      <c r="K278" s="91"/>
      <c r="L278" s="111"/>
      <c r="M278" s="147"/>
      <c r="N278" s="169"/>
      <c r="O278" s="169"/>
      <c r="P278" s="169"/>
      <c r="Q278" s="169"/>
      <c r="R278" s="160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1"/>
    </row>
    <row r="279" spans="4:31" x14ac:dyDescent="0.25">
      <c r="D279" s="110"/>
      <c r="E279" s="91"/>
      <c r="F279" s="91"/>
      <c r="G279" s="91"/>
      <c r="H279" s="91"/>
      <c r="I279" s="91"/>
      <c r="J279" s="91"/>
      <c r="K279" s="91"/>
      <c r="L279" s="111"/>
      <c r="M279" s="147"/>
      <c r="N279" s="169"/>
      <c r="O279" s="169"/>
      <c r="P279" s="169"/>
      <c r="Q279" s="169"/>
      <c r="R279" s="160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1"/>
    </row>
    <row r="280" spans="4:31" x14ac:dyDescent="0.25">
      <c r="D280" s="110"/>
      <c r="E280" s="91"/>
      <c r="F280" s="91"/>
      <c r="G280" s="91"/>
      <c r="H280" s="91"/>
      <c r="I280" s="91"/>
      <c r="J280" s="91"/>
      <c r="K280" s="91"/>
      <c r="L280" s="111"/>
      <c r="M280" s="147"/>
      <c r="N280" s="169"/>
      <c r="O280" s="169"/>
      <c r="P280" s="169"/>
      <c r="Q280" s="169"/>
      <c r="R280" s="160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1"/>
    </row>
    <row r="281" spans="4:31" x14ac:dyDescent="0.25">
      <c r="D281" s="110"/>
      <c r="E281" s="91"/>
      <c r="F281" s="91"/>
      <c r="G281" s="91"/>
      <c r="H281" s="91"/>
      <c r="I281" s="91"/>
      <c r="J281" s="91"/>
      <c r="K281" s="91"/>
      <c r="L281" s="111"/>
      <c r="M281" s="147"/>
      <c r="N281" s="169"/>
      <c r="O281" s="169"/>
      <c r="P281" s="169"/>
      <c r="Q281" s="169"/>
      <c r="R281" s="160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</row>
    <row r="282" spans="4:31" x14ac:dyDescent="0.25">
      <c r="D282" s="110"/>
      <c r="E282" s="91"/>
      <c r="F282" s="91"/>
      <c r="G282" s="91"/>
      <c r="H282" s="91"/>
      <c r="I282" s="91"/>
      <c r="J282" s="91"/>
      <c r="K282" s="91"/>
      <c r="L282" s="111"/>
      <c r="M282" s="147"/>
      <c r="N282" s="169"/>
      <c r="O282" s="169"/>
      <c r="P282" s="169"/>
      <c r="Q282" s="169"/>
      <c r="R282" s="160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</row>
    <row r="283" spans="4:31" ht="15.75" thickBot="1" x14ac:dyDescent="0.3">
      <c r="D283" s="110"/>
      <c r="E283" s="91"/>
      <c r="F283" s="91"/>
      <c r="G283" s="91"/>
      <c r="H283" s="91"/>
      <c r="I283" s="91"/>
      <c r="J283" s="91"/>
      <c r="K283" s="91"/>
      <c r="L283" s="111"/>
      <c r="M283" s="147"/>
      <c r="N283" s="169"/>
      <c r="O283" s="169"/>
      <c r="P283" s="169"/>
      <c r="Q283" s="169"/>
      <c r="R283" s="160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</row>
    <row r="284" spans="4:31" hidden="1" x14ac:dyDescent="0.25">
      <c r="D284" s="110"/>
      <c r="E284" s="91"/>
      <c r="F284" s="91"/>
      <c r="G284" s="91"/>
      <c r="H284" s="91"/>
      <c r="I284" s="91"/>
      <c r="J284" s="91"/>
      <c r="K284" s="91"/>
      <c r="L284" s="111"/>
      <c r="M284" s="147"/>
      <c r="N284" s="169"/>
      <c r="O284" s="169"/>
      <c r="P284" s="169"/>
      <c r="Q284" s="169"/>
      <c r="R284" s="160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</row>
    <row r="285" spans="4:31" hidden="1" x14ac:dyDescent="0.25">
      <c r="D285" s="110"/>
      <c r="E285" s="91"/>
      <c r="F285" s="91"/>
      <c r="G285" s="91"/>
      <c r="H285" s="91"/>
      <c r="I285" s="91"/>
      <c r="J285" s="91"/>
      <c r="K285" s="91"/>
      <c r="L285" s="111"/>
      <c r="M285" s="147"/>
      <c r="N285" s="169"/>
      <c r="O285" s="169"/>
      <c r="P285" s="169"/>
      <c r="Q285" s="169"/>
      <c r="R285" s="160"/>
      <c r="S285" s="179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</row>
    <row r="286" spans="4:31" hidden="1" x14ac:dyDescent="0.25">
      <c r="D286" s="110"/>
      <c r="E286" s="91"/>
      <c r="F286" s="91"/>
      <c r="G286" s="91"/>
      <c r="H286" s="91"/>
      <c r="I286" s="91"/>
      <c r="J286" s="91"/>
      <c r="K286" s="91"/>
      <c r="L286" s="111"/>
      <c r="M286" s="147"/>
      <c r="N286" s="169"/>
      <c r="O286" s="169"/>
      <c r="P286" s="169"/>
      <c r="Q286" s="169"/>
      <c r="R286" s="160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</row>
    <row r="287" spans="4:31" hidden="1" x14ac:dyDescent="0.25">
      <c r="D287" s="110"/>
      <c r="E287" s="91"/>
      <c r="F287" s="91"/>
      <c r="G287" s="91"/>
      <c r="H287" s="91"/>
      <c r="I287" s="91"/>
      <c r="J287" s="91"/>
      <c r="K287" s="91"/>
      <c r="L287" s="111"/>
      <c r="M287" s="147"/>
      <c r="N287" s="169"/>
      <c r="O287" s="169"/>
      <c r="P287" s="169"/>
      <c r="Q287" s="169"/>
      <c r="R287" s="160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</row>
    <row r="288" spans="4:31" hidden="1" x14ac:dyDescent="0.25">
      <c r="D288" s="110"/>
      <c r="E288" s="91"/>
      <c r="F288" s="91"/>
      <c r="G288" s="91"/>
      <c r="H288" s="91"/>
      <c r="I288" s="91"/>
      <c r="J288" s="91"/>
      <c r="K288" s="91"/>
      <c r="L288" s="111"/>
      <c r="M288" s="147"/>
      <c r="N288" s="169"/>
      <c r="O288" s="169"/>
      <c r="P288" s="169"/>
      <c r="Q288" s="169"/>
      <c r="R288" s="160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</row>
    <row r="289" spans="4:30" hidden="1" x14ac:dyDescent="0.25">
      <c r="D289" s="110"/>
      <c r="E289" s="91"/>
      <c r="F289" s="91"/>
      <c r="G289" s="91"/>
      <c r="H289" s="91"/>
      <c r="I289" s="91"/>
      <c r="J289" s="91"/>
      <c r="K289" s="91"/>
      <c r="L289" s="111"/>
      <c r="M289" s="147"/>
      <c r="N289" s="169"/>
      <c r="O289" s="169"/>
      <c r="P289" s="169"/>
      <c r="Q289" s="169"/>
      <c r="R289" s="160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</row>
    <row r="290" spans="4:30" hidden="1" x14ac:dyDescent="0.25">
      <c r="D290" s="110"/>
      <c r="E290" s="91"/>
      <c r="F290" s="91"/>
      <c r="G290" s="91"/>
      <c r="H290" s="91"/>
      <c r="I290" s="91"/>
      <c r="J290" s="91"/>
      <c r="K290" s="91"/>
      <c r="L290" s="111"/>
      <c r="M290" s="147"/>
      <c r="N290" s="169"/>
      <c r="O290" s="169"/>
      <c r="P290" s="169"/>
      <c r="Q290" s="169"/>
      <c r="R290" s="160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</row>
    <row r="291" spans="4:30" hidden="1" x14ac:dyDescent="0.25">
      <c r="D291" s="110"/>
      <c r="E291" s="91"/>
      <c r="F291" s="91"/>
      <c r="G291" s="91"/>
      <c r="H291" s="91"/>
      <c r="I291" s="91"/>
      <c r="J291" s="91"/>
      <c r="K291" s="91"/>
      <c r="L291" s="111"/>
      <c r="M291" s="147"/>
      <c r="N291" s="169"/>
      <c r="O291" s="169"/>
      <c r="P291" s="169"/>
      <c r="Q291" s="169"/>
      <c r="R291" s="160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</row>
    <row r="292" spans="4:30" hidden="1" x14ac:dyDescent="0.25">
      <c r="D292" s="110"/>
      <c r="E292" s="91"/>
      <c r="F292" s="91"/>
      <c r="G292" s="91"/>
      <c r="H292" s="91"/>
      <c r="I292" s="91"/>
      <c r="J292" s="91"/>
      <c r="K292" s="91"/>
      <c r="L292" s="111"/>
      <c r="M292" s="147"/>
      <c r="N292" s="169"/>
      <c r="O292" s="169"/>
      <c r="P292" s="169"/>
      <c r="Q292" s="169"/>
      <c r="R292" s="160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79"/>
    </row>
    <row r="293" spans="4:30" hidden="1" x14ac:dyDescent="0.25">
      <c r="D293" s="110"/>
      <c r="E293" s="91"/>
      <c r="F293" s="91"/>
      <c r="G293" s="91"/>
      <c r="H293" s="91"/>
      <c r="I293" s="91"/>
      <c r="J293" s="91"/>
      <c r="K293" s="91"/>
      <c r="L293" s="111"/>
      <c r="M293" s="147"/>
      <c r="N293" s="169"/>
      <c r="O293" s="169"/>
      <c r="P293" s="169"/>
      <c r="Q293" s="169"/>
      <c r="R293" s="160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79"/>
      <c r="AD293" s="179"/>
    </row>
    <row r="294" spans="4:30" hidden="1" x14ac:dyDescent="0.25">
      <c r="D294" s="110"/>
      <c r="E294" s="91"/>
      <c r="F294" s="91"/>
      <c r="G294" s="91"/>
      <c r="H294" s="91"/>
      <c r="I294" s="91"/>
      <c r="J294" s="91"/>
      <c r="K294" s="91"/>
      <c r="L294" s="111"/>
      <c r="M294" s="147"/>
      <c r="N294" s="169"/>
      <c r="O294" s="169"/>
      <c r="P294" s="169"/>
      <c r="Q294" s="169"/>
      <c r="R294" s="160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</row>
    <row r="295" spans="4:30" hidden="1" x14ac:dyDescent="0.25">
      <c r="D295" s="110"/>
      <c r="E295" s="91"/>
      <c r="F295" s="91"/>
      <c r="G295" s="91"/>
      <c r="H295" s="91"/>
      <c r="I295" s="91"/>
      <c r="J295" s="91"/>
      <c r="K295" s="91"/>
      <c r="L295" s="111"/>
      <c r="M295" s="147"/>
      <c r="N295" s="169"/>
      <c r="O295" s="169"/>
      <c r="P295" s="169"/>
      <c r="Q295" s="169"/>
      <c r="R295" s="160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</row>
    <row r="296" spans="4:30" hidden="1" x14ac:dyDescent="0.25">
      <c r="D296" s="110"/>
      <c r="E296" s="91"/>
      <c r="F296" s="91"/>
      <c r="G296" s="91"/>
      <c r="H296" s="91"/>
      <c r="I296" s="91"/>
      <c r="J296" s="91"/>
      <c r="K296" s="91"/>
      <c r="L296" s="111"/>
      <c r="M296" s="147"/>
      <c r="N296" s="169"/>
      <c r="O296" s="169"/>
      <c r="P296" s="169"/>
      <c r="Q296" s="169"/>
      <c r="R296" s="160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</row>
    <row r="297" spans="4:30" hidden="1" x14ac:dyDescent="0.25">
      <c r="D297" s="110"/>
      <c r="E297" s="91"/>
      <c r="F297" s="91"/>
      <c r="G297" s="91"/>
      <c r="H297" s="91"/>
      <c r="I297" s="91"/>
      <c r="J297" s="91"/>
      <c r="K297" s="91"/>
      <c r="L297" s="111"/>
      <c r="M297" s="147"/>
      <c r="N297" s="169"/>
      <c r="O297" s="169"/>
      <c r="P297" s="169"/>
      <c r="Q297" s="169"/>
      <c r="R297" s="160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</row>
    <row r="298" spans="4:30" hidden="1" x14ac:dyDescent="0.25">
      <c r="D298" s="110"/>
      <c r="E298" s="91"/>
      <c r="F298" s="91"/>
      <c r="G298" s="91"/>
      <c r="H298" s="91"/>
      <c r="I298" s="91"/>
      <c r="J298" s="91"/>
      <c r="K298" s="91"/>
      <c r="L298" s="111"/>
      <c r="M298" s="147"/>
      <c r="N298" s="169"/>
      <c r="O298" s="169"/>
      <c r="P298" s="169"/>
      <c r="Q298" s="169"/>
      <c r="R298" s="160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</row>
    <row r="299" spans="4:30" hidden="1" x14ac:dyDescent="0.25">
      <c r="D299" s="110"/>
      <c r="E299" s="91"/>
      <c r="F299" s="91"/>
      <c r="G299" s="91"/>
      <c r="H299" s="91"/>
      <c r="I299" s="91"/>
      <c r="J299" s="91"/>
      <c r="K299" s="91"/>
      <c r="L299" s="111"/>
      <c r="M299" s="147"/>
      <c r="N299" s="169"/>
      <c r="O299" s="169"/>
      <c r="P299" s="169"/>
      <c r="Q299" s="169"/>
      <c r="R299" s="160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</row>
    <row r="300" spans="4:30" ht="15.75" hidden="1" thickBot="1" x14ac:dyDescent="0.3">
      <c r="D300" s="110"/>
      <c r="E300" s="91"/>
      <c r="F300" s="91"/>
      <c r="G300" s="91"/>
      <c r="H300" s="91"/>
      <c r="I300" s="91"/>
      <c r="J300" s="91"/>
      <c r="K300" s="91"/>
      <c r="L300" s="111"/>
      <c r="M300" s="147"/>
      <c r="N300" s="169"/>
      <c r="O300" s="169" t="s">
        <v>48</v>
      </c>
      <c r="P300" s="169" t="s">
        <v>54</v>
      </c>
      <c r="Q300" s="158" t="s">
        <v>67</v>
      </c>
      <c r="R300" s="169" t="s">
        <v>65</v>
      </c>
      <c r="S300" s="161" t="s">
        <v>64</v>
      </c>
      <c r="T300" s="161" t="s">
        <v>98</v>
      </c>
      <c r="U300" s="161" t="s">
        <v>99</v>
      </c>
      <c r="V300" s="179"/>
      <c r="W300" s="179"/>
      <c r="X300" s="179"/>
      <c r="Y300" s="179"/>
      <c r="Z300" s="179"/>
      <c r="AA300" s="179"/>
      <c r="AB300" s="179"/>
      <c r="AC300" s="179"/>
      <c r="AD300" s="179"/>
    </row>
    <row r="301" spans="4:30" ht="21.75" thickBot="1" x14ac:dyDescent="0.4">
      <c r="D301" s="110"/>
      <c r="E301" s="227" t="s">
        <v>114</v>
      </c>
      <c r="F301" s="227"/>
      <c r="G301" s="228" t="s">
        <v>52</v>
      </c>
      <c r="H301" s="229"/>
      <c r="I301" s="91"/>
      <c r="J301" s="100" t="s">
        <v>62</v>
      </c>
      <c r="K301" s="101">
        <f>VLOOKUP(G301,PRODUCTOS_1,2,0)</f>
        <v>0.14499999999999999</v>
      </c>
      <c r="L301" s="111"/>
      <c r="M301" s="147"/>
      <c r="N301" s="169"/>
      <c r="O301" s="169" t="s">
        <v>52</v>
      </c>
      <c r="P301" s="180">
        <f>IF(PLAZO_1=5,13.25,IF(PLAZO_1=20,14.5,IF(PLAZO_1=10,13.75,13.75)))/100</f>
        <v>0.14499999999999999</v>
      </c>
      <c r="Q301" s="217">
        <f>IF($J$311="SI",82.5%,80%)</f>
        <v>0.8</v>
      </c>
      <c r="R301" s="180">
        <v>2.5000000000000001E-2</v>
      </c>
      <c r="S301" s="182">
        <v>500000</v>
      </c>
      <c r="T301" s="183">
        <v>1000</v>
      </c>
      <c r="U301" s="179">
        <v>0.09</v>
      </c>
      <c r="V301" s="179"/>
      <c r="W301" s="179"/>
      <c r="X301" s="179"/>
      <c r="Y301" s="179"/>
      <c r="Z301" s="179"/>
      <c r="AA301" s="179"/>
      <c r="AB301" s="179"/>
      <c r="AC301" s="179"/>
      <c r="AD301" s="179"/>
    </row>
    <row r="302" spans="4:30" ht="20.25" thickBot="1" x14ac:dyDescent="0.35">
      <c r="D302" s="110"/>
      <c r="E302" s="102"/>
      <c r="F302" s="102"/>
      <c r="G302" s="102"/>
      <c r="H302" s="102"/>
      <c r="I302" s="91"/>
      <c r="J302" s="100"/>
      <c r="K302" s="102"/>
      <c r="L302" s="111"/>
      <c r="M302" s="147"/>
      <c r="N302" s="169"/>
      <c r="O302" s="169" t="s">
        <v>53</v>
      </c>
      <c r="P302" s="180">
        <f>IF(PLAZO_1=5,16,IF(PLAZO_1=10,16.5,IF(PLAZO_1=15,17,17)))/100</f>
        <v>0.17</v>
      </c>
      <c r="Q302" s="217">
        <f>IF($J$311="SI",72.5%,70%)</f>
        <v>0.7</v>
      </c>
      <c r="R302" s="180">
        <v>2.5000000000000001E-2</v>
      </c>
      <c r="S302" s="182">
        <v>500000</v>
      </c>
      <c r="T302" s="183">
        <v>1000</v>
      </c>
      <c r="U302" s="179">
        <v>0.04</v>
      </c>
      <c r="V302" s="179"/>
      <c r="W302" s="179"/>
      <c r="X302" s="179"/>
      <c r="Y302" s="179"/>
      <c r="Z302" s="179"/>
      <c r="AA302" s="179"/>
      <c r="AB302" s="179"/>
      <c r="AC302" s="179"/>
      <c r="AD302" s="179"/>
    </row>
    <row r="303" spans="4:30" ht="21.75" thickBot="1" x14ac:dyDescent="0.4">
      <c r="D303" s="110"/>
      <c r="E303" s="227" t="s">
        <v>49</v>
      </c>
      <c r="F303" s="227"/>
      <c r="G303" s="230">
        <v>1000000</v>
      </c>
      <c r="H303" s="231"/>
      <c r="I303" s="91"/>
      <c r="J303" s="100" t="s">
        <v>60</v>
      </c>
      <c r="K303" s="101">
        <f>VLOOKUP(G301,PRODUCTOS_1,3,0)</f>
        <v>0.8</v>
      </c>
      <c r="L303" s="111"/>
      <c r="M303" s="147"/>
      <c r="N303" s="169"/>
      <c r="O303" s="169"/>
      <c r="P303" s="180"/>
      <c r="Q303" s="181"/>
      <c r="R303" s="180"/>
      <c r="S303" s="182"/>
      <c r="T303" s="183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</row>
    <row r="304" spans="4:30" ht="21.75" thickBot="1" x14ac:dyDescent="0.4">
      <c r="D304" s="110"/>
      <c r="E304" s="227" t="s">
        <v>50</v>
      </c>
      <c r="F304" s="227"/>
      <c r="G304" s="230">
        <v>0</v>
      </c>
      <c r="H304" s="231"/>
      <c r="I304" s="91"/>
      <c r="J304" s="100" t="s">
        <v>61</v>
      </c>
      <c r="K304" s="101">
        <f>IF(G303=0,0,IF(G304="","",(P319/100)))</f>
        <v>0</v>
      </c>
      <c r="L304" s="111"/>
      <c r="M304" s="147"/>
      <c r="N304" s="184">
        <f>COTIZACION!F13/COTIZACION!C13</f>
        <v>0</v>
      </c>
      <c r="O304" s="169">
        <v>1</v>
      </c>
      <c r="P304" s="169">
        <f t="shared" ref="P304:U304" si="33">O304+1</f>
        <v>2</v>
      </c>
      <c r="Q304" s="169">
        <f t="shared" si="33"/>
        <v>3</v>
      </c>
      <c r="R304" s="169">
        <f t="shared" si="33"/>
        <v>4</v>
      </c>
      <c r="S304" s="179">
        <f t="shared" si="33"/>
        <v>5</v>
      </c>
      <c r="T304" s="179">
        <f t="shared" si="33"/>
        <v>6</v>
      </c>
      <c r="U304" s="179">
        <f t="shared" si="33"/>
        <v>7</v>
      </c>
      <c r="V304" s="179"/>
      <c r="W304" s="179"/>
      <c r="X304" s="179"/>
      <c r="Y304" s="179"/>
      <c r="Z304" s="179"/>
      <c r="AA304" s="179"/>
      <c r="AB304" s="179"/>
      <c r="AC304" s="179"/>
      <c r="AD304" s="179"/>
    </row>
    <row r="305" spans="4:30" ht="19.5" thickBot="1" x14ac:dyDescent="0.3">
      <c r="D305" s="110"/>
      <c r="E305" s="102"/>
      <c r="F305" s="102"/>
      <c r="G305" s="102"/>
      <c r="H305" s="102"/>
      <c r="I305" s="91"/>
      <c r="J305" s="222" t="str">
        <f>IF(G303=0," ",IF(G304="","",(IF(K303&lt;K304,"Aforo Máximo Rebasado",""))))</f>
        <v/>
      </c>
      <c r="K305" s="222"/>
      <c r="L305" s="111"/>
      <c r="M305" s="147"/>
      <c r="N305" s="169"/>
      <c r="O305" s="169"/>
      <c r="P305" s="169"/>
      <c r="Q305" s="169"/>
      <c r="R305" s="160"/>
      <c r="S305" s="179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</row>
    <row r="306" spans="4:30" ht="20.25" thickBot="1" x14ac:dyDescent="0.35">
      <c r="D306" s="110"/>
      <c r="E306" s="227" t="s">
        <v>51</v>
      </c>
      <c r="F306" s="227"/>
      <c r="G306" s="66">
        <v>20</v>
      </c>
      <c r="H306" s="102"/>
      <c r="I306" s="91"/>
      <c r="J306" s="222" t="str">
        <f>IF(G303=0," ",IF(COTIZACION!F13="","",(IF(K303&lt;+N304,"Aforo Máximo Rebasado",""))))</f>
        <v/>
      </c>
      <c r="K306" s="222"/>
      <c r="L306" s="111"/>
      <c r="M306" s="147"/>
      <c r="N306" s="169"/>
      <c r="O306" s="169"/>
      <c r="P306" s="169"/>
      <c r="Q306" s="169"/>
      <c r="R306" s="160"/>
      <c r="S306" s="179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79"/>
    </row>
    <row r="307" spans="4:30" ht="19.5" x14ac:dyDescent="0.3">
      <c r="D307" s="110"/>
      <c r="E307" s="102"/>
      <c r="F307" s="235"/>
      <c r="G307" s="235"/>
      <c r="H307" s="102"/>
      <c r="I307" s="91"/>
      <c r="J307" s="91"/>
      <c r="K307" s="91"/>
      <c r="L307" s="111"/>
      <c r="M307" s="147"/>
      <c r="N307" s="169"/>
      <c r="O307" s="169" t="s">
        <v>57</v>
      </c>
      <c r="Q307" s="169"/>
      <c r="R307" s="160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</row>
    <row r="308" spans="4:30" ht="19.5" thickBot="1" x14ac:dyDescent="0.3">
      <c r="D308" s="110"/>
      <c r="E308" s="102"/>
      <c r="F308" s="102"/>
      <c r="G308" s="102"/>
      <c r="H308" s="102"/>
      <c r="I308" s="91"/>
      <c r="J308" s="91"/>
      <c r="K308" s="91"/>
      <c r="L308" s="111"/>
      <c r="M308" s="147"/>
      <c r="N308" s="169"/>
      <c r="O308" s="169">
        <f>IF(G301="LIQUIDEZ HIPOTECARIA","",20)</f>
        <v>20</v>
      </c>
      <c r="P308" s="169"/>
      <c r="Q308" s="169"/>
      <c r="R308" s="160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</row>
    <row r="309" spans="4:30" ht="20.25" thickBot="1" x14ac:dyDescent="0.35">
      <c r="D309" s="110"/>
      <c r="E309" s="103" t="s">
        <v>55</v>
      </c>
      <c r="F309" s="102"/>
      <c r="G309" s="67" t="s">
        <v>58</v>
      </c>
      <c r="H309" s="102"/>
      <c r="I309" s="100" t="s">
        <v>56</v>
      </c>
      <c r="J309" s="66" t="s">
        <v>58</v>
      </c>
      <c r="K309" s="91"/>
      <c r="L309" s="111"/>
      <c r="M309" s="147"/>
      <c r="N309" s="169"/>
      <c r="O309" s="169">
        <v>15</v>
      </c>
      <c r="P309" s="169"/>
      <c r="Q309" s="169"/>
      <c r="R309" s="160"/>
      <c r="S309" s="179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</row>
    <row r="310" spans="4:30" ht="20.25" thickBot="1" x14ac:dyDescent="0.35">
      <c r="D310" s="110"/>
      <c r="E310" s="91"/>
      <c r="F310" s="91"/>
      <c r="G310" s="91"/>
      <c r="H310" s="91"/>
      <c r="I310" s="104"/>
      <c r="J310" s="91"/>
      <c r="K310" s="233" t="s">
        <v>116</v>
      </c>
      <c r="L310" s="234"/>
      <c r="M310" s="156"/>
      <c r="N310" s="169"/>
      <c r="O310" s="169">
        <v>10</v>
      </c>
      <c r="P310" s="169"/>
      <c r="Q310" s="169"/>
      <c r="R310" s="160"/>
      <c r="S310" s="179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79"/>
    </row>
    <row r="311" spans="4:30" ht="20.25" thickBot="1" x14ac:dyDescent="0.35">
      <c r="D311" s="110"/>
      <c r="E311" s="91"/>
      <c r="F311" s="91"/>
      <c r="G311" s="91"/>
      <c r="H311" s="91"/>
      <c r="I311" s="100" t="s">
        <v>63</v>
      </c>
      <c r="J311" s="66" t="s">
        <v>58</v>
      </c>
      <c r="K311" s="233"/>
      <c r="L311" s="234"/>
      <c r="M311" s="156"/>
      <c r="N311" s="169"/>
      <c r="O311" s="169">
        <v>5</v>
      </c>
      <c r="P311" s="169"/>
      <c r="Q311" s="169"/>
      <c r="R311" s="160"/>
      <c r="S311" s="179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79"/>
    </row>
    <row r="312" spans="4:30" ht="20.25" x14ac:dyDescent="0.3">
      <c r="D312" s="110"/>
      <c r="E312" s="103" t="s">
        <v>113</v>
      </c>
      <c r="F312" s="105"/>
      <c r="G312" s="105"/>
      <c r="H312" s="91"/>
      <c r="I312" s="91"/>
      <c r="J312" s="91"/>
      <c r="K312" s="91"/>
      <c r="L312" s="111"/>
      <c r="M312" s="147"/>
      <c r="N312" s="169"/>
      <c r="O312" s="169"/>
      <c r="P312" s="169"/>
      <c r="Q312" s="169"/>
      <c r="R312" s="160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</row>
    <row r="313" spans="4:30" x14ac:dyDescent="0.25">
      <c r="D313" s="110"/>
      <c r="E313" s="91"/>
      <c r="F313" s="91"/>
      <c r="G313" s="91"/>
      <c r="H313" s="91"/>
      <c r="I313" s="232"/>
      <c r="J313" s="232"/>
      <c r="K313" s="91"/>
      <c r="L313" s="111"/>
      <c r="M313" s="147"/>
      <c r="N313" s="169"/>
      <c r="O313" s="169"/>
      <c r="P313" s="169"/>
      <c r="Q313" s="169"/>
      <c r="R313" s="160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</row>
    <row r="314" spans="4:30" ht="18.75" x14ac:dyDescent="0.3">
      <c r="D314" s="110"/>
      <c r="E314" s="64" t="s">
        <v>111</v>
      </c>
      <c r="F314" s="106"/>
      <c r="G314" s="107">
        <f>IF(G304="","",G22)</f>
        <v>0</v>
      </c>
      <c r="H314" s="91"/>
      <c r="I314" s="232"/>
      <c r="J314" s="232"/>
      <c r="K314" s="91"/>
      <c r="L314" s="111"/>
      <c r="M314" s="147"/>
      <c r="N314" s="169"/>
      <c r="O314" s="169" t="s">
        <v>66</v>
      </c>
      <c r="P314" s="169"/>
      <c r="Q314" s="169"/>
      <c r="R314" s="160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</row>
    <row r="315" spans="4:30" ht="18.75" x14ac:dyDescent="0.3">
      <c r="D315" s="110"/>
      <c r="E315" s="64" t="s">
        <v>8</v>
      </c>
      <c r="F315" s="106"/>
      <c r="G315" s="107">
        <f>IF(G304="","",H35)</f>
        <v>0</v>
      </c>
      <c r="H315" s="91"/>
      <c r="I315" s="239" t="str">
        <f>IF(G303=0," ",CONCATENATE(O326,"  / ",F307, " /  ",I313," / ",J305))</f>
        <v xml:space="preserve">  /  /   / </v>
      </c>
      <c r="J315" s="239"/>
      <c r="K315" s="91"/>
      <c r="L315" s="111"/>
      <c r="M315" s="147"/>
      <c r="N315" s="169"/>
      <c r="O315" s="169" t="s">
        <v>115</v>
      </c>
      <c r="P315" s="169"/>
      <c r="Q315" s="169"/>
      <c r="R315" s="160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</row>
    <row r="316" spans="4:30" ht="18.75" x14ac:dyDescent="0.3">
      <c r="D316" s="110"/>
      <c r="E316" s="64" t="s">
        <v>105</v>
      </c>
      <c r="F316" s="106"/>
      <c r="G316" s="107">
        <f>IF(G304="","",IF(G301="LIQUIDEZ HIPOTECARIA",G36*0.16,0))</f>
        <v>0</v>
      </c>
      <c r="H316" s="91"/>
      <c r="I316" s="239"/>
      <c r="J316" s="239"/>
      <c r="K316" s="91"/>
      <c r="L316" s="111"/>
      <c r="M316" s="147"/>
      <c r="N316" s="169"/>
      <c r="O316" s="169" t="s">
        <v>58</v>
      </c>
      <c r="P316" s="169"/>
      <c r="Q316" s="169"/>
      <c r="R316" s="160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</row>
    <row r="317" spans="4:30" ht="18.75" x14ac:dyDescent="0.3">
      <c r="D317" s="110"/>
      <c r="E317" s="64" t="s">
        <v>95</v>
      </c>
      <c r="F317" s="106"/>
      <c r="G317" s="107">
        <f>IF(G304="","",G316+G315)</f>
        <v>0</v>
      </c>
      <c r="H317" s="91"/>
      <c r="I317" s="239"/>
      <c r="J317" s="239"/>
      <c r="K317" s="91"/>
      <c r="L317" s="111"/>
      <c r="M317" s="147"/>
      <c r="N317" s="169"/>
      <c r="O317" s="169"/>
      <c r="P317" s="169"/>
      <c r="Q317" s="169"/>
      <c r="R317" s="160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</row>
    <row r="318" spans="4:30" ht="18.75" x14ac:dyDescent="0.3">
      <c r="D318" s="110"/>
      <c r="E318" s="64" t="s">
        <v>96</v>
      </c>
      <c r="F318" s="106"/>
      <c r="G318" s="107">
        <f>IF(G304="","",K36)</f>
        <v>174</v>
      </c>
      <c r="H318" s="91"/>
      <c r="I318" s="239"/>
      <c r="J318" s="239"/>
      <c r="K318" s="91"/>
      <c r="L318" s="111"/>
      <c r="M318" s="147"/>
      <c r="N318" s="169"/>
      <c r="O318" s="169" t="s">
        <v>68</v>
      </c>
      <c r="P318" s="169" t="s">
        <v>59</v>
      </c>
      <c r="Q318" s="169"/>
      <c r="R318" s="160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</row>
    <row r="319" spans="4:30" ht="18.75" x14ac:dyDescent="0.3">
      <c r="D319" s="110"/>
      <c r="E319" s="64" t="s">
        <v>97</v>
      </c>
      <c r="F319" s="106"/>
      <c r="G319" s="107">
        <f>IF(G304="","",J36)</f>
        <v>0</v>
      </c>
      <c r="H319" s="91"/>
      <c r="I319" s="239"/>
      <c r="J319" s="239"/>
      <c r="K319" s="91"/>
      <c r="L319" s="111"/>
      <c r="M319" s="147"/>
      <c r="N319" s="169"/>
      <c r="O319" s="185">
        <f>100-P319</f>
        <v>100</v>
      </c>
      <c r="P319" s="185">
        <f>G304*100/G303</f>
        <v>0</v>
      </c>
      <c r="Q319" s="169"/>
      <c r="R319" s="160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</row>
    <row r="320" spans="4:30" ht="18.75" x14ac:dyDescent="0.3">
      <c r="D320" s="110"/>
      <c r="E320" s="64" t="s">
        <v>89</v>
      </c>
      <c r="F320" s="106"/>
      <c r="G320" s="107">
        <f>IF(G304="","",SUM(G317:G319))</f>
        <v>174</v>
      </c>
      <c r="H320" s="91"/>
      <c r="I320" s="239"/>
      <c r="J320" s="239"/>
      <c r="K320" s="91"/>
      <c r="L320" s="111"/>
      <c r="M320" s="147"/>
      <c r="N320" s="169"/>
      <c r="O320" s="169"/>
      <c r="P320" s="169"/>
      <c r="Q320" s="169"/>
      <c r="R320" s="160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</row>
    <row r="321" spans="4:30" ht="18.75" x14ac:dyDescent="0.3">
      <c r="D321" s="110"/>
      <c r="E321" s="64" t="s">
        <v>108</v>
      </c>
      <c r="F321" s="106"/>
      <c r="G321" s="108">
        <f>IF(G304="","",VLOOKUP(G301,PRODUCTOS_1,4,0))</f>
        <v>2.5000000000000001E-2</v>
      </c>
      <c r="H321" s="91"/>
      <c r="I321" s="91"/>
      <c r="J321" s="91"/>
      <c r="K321" s="91"/>
      <c r="L321" s="111"/>
      <c r="M321" s="147"/>
      <c r="N321" s="169"/>
      <c r="O321" s="169" t="s">
        <v>100</v>
      </c>
      <c r="P321" s="169"/>
      <c r="Q321" s="169"/>
      <c r="R321" s="160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</row>
    <row r="322" spans="4:30" ht="18.75" x14ac:dyDescent="0.3">
      <c r="D322" s="110"/>
      <c r="E322" s="64" t="s">
        <v>69</v>
      </c>
      <c r="F322" s="106"/>
      <c r="G322" s="107">
        <f>IF(G304="","",F25+F27:F27)</f>
        <v>0</v>
      </c>
      <c r="H322" s="91"/>
      <c r="I322" s="91"/>
      <c r="J322" s="91"/>
      <c r="K322" s="91"/>
      <c r="L322" s="111"/>
      <c r="M322" s="147"/>
      <c r="N322" s="169"/>
      <c r="O322" s="186">
        <f>IF(G301="MI CASA-ADQUISICIÓN DE VIVIENDA",G303-G304,0)</f>
        <v>1000000</v>
      </c>
      <c r="P322" s="169"/>
      <c r="Q322" s="169"/>
      <c r="R322" s="160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</row>
    <row r="323" spans="4:30" ht="18.75" x14ac:dyDescent="0.3">
      <c r="D323" s="110"/>
      <c r="E323" s="65" t="s">
        <v>112</v>
      </c>
      <c r="F323" s="106"/>
      <c r="G323" s="108">
        <f>IF(G304="","",VLOOKUP(G301,PRODUCTOS_1,7,0))</f>
        <v>0.09</v>
      </c>
      <c r="H323" s="91"/>
      <c r="I323" s="91"/>
      <c r="J323" s="91"/>
      <c r="K323" s="91"/>
      <c r="L323" s="111"/>
      <c r="M323" s="147"/>
      <c r="N323" s="169"/>
      <c r="O323" s="169"/>
      <c r="P323" s="169"/>
      <c r="Q323" s="169"/>
      <c r="R323" s="160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</row>
    <row r="324" spans="4:30" ht="19.5" thickBot="1" x14ac:dyDescent="0.35">
      <c r="D324" s="122"/>
      <c r="E324" s="123" t="s">
        <v>109</v>
      </c>
      <c r="F324" s="124"/>
      <c r="G324" s="125">
        <f>IF(G304="","",J25)</f>
        <v>90000</v>
      </c>
      <c r="H324" s="126"/>
      <c r="I324" s="126"/>
      <c r="J324" s="126"/>
      <c r="K324" s="126"/>
      <c r="L324" s="127"/>
      <c r="M324" s="147"/>
      <c r="N324" s="169"/>
      <c r="O324" s="169"/>
      <c r="P324" s="169"/>
      <c r="Q324" s="169"/>
      <c r="R324" s="160"/>
      <c r="S324" s="179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</row>
    <row r="325" spans="4:30" ht="20.100000000000001" hidden="1" customHeight="1" x14ac:dyDescent="0.25">
      <c r="E325" s="1"/>
      <c r="F325" s="1"/>
      <c r="G325" s="1"/>
      <c r="H325" s="1"/>
      <c r="I325" s="1"/>
      <c r="J325" s="1"/>
      <c r="K325" s="1"/>
      <c r="L325" s="1"/>
      <c r="M325" s="1"/>
      <c r="N325" s="169"/>
      <c r="O325" s="169"/>
      <c r="P325" s="169"/>
      <c r="Q325" s="169"/>
      <c r="R325" s="160"/>
      <c r="S325" s="179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</row>
    <row r="326" spans="4:30" hidden="1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69"/>
      <c r="O326" s="169" t="str">
        <f>IF(F307&lt;&gt;"","Existe un error en la cotizacion realizada",IF(J305&lt;&gt;"","Existe un error en la cotizacion realizada",IF(I313&lt;&gt;"","Existe un error en la cotizacion realizada","")))</f>
        <v/>
      </c>
      <c r="P326" s="169"/>
      <c r="Q326" s="169"/>
      <c r="R326" s="160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</row>
    <row r="327" spans="4:30" hidden="1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69"/>
      <c r="O327" s="169"/>
      <c r="P327" s="169"/>
      <c r="Q327" s="169"/>
      <c r="R327" s="160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</row>
    <row r="328" spans="4:30" hidden="1" x14ac:dyDescent="0.25">
      <c r="E328" s="1"/>
      <c r="F328" s="1"/>
      <c r="G328" s="1"/>
      <c r="H328" s="1"/>
      <c r="I328" s="1"/>
      <c r="J328" s="1"/>
      <c r="K328" s="1"/>
      <c r="L328" s="1"/>
      <c r="M328" s="1"/>
      <c r="N328" s="169"/>
      <c r="O328" s="169"/>
      <c r="P328" s="169"/>
      <c r="Q328" s="169"/>
      <c r="R328" s="160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</row>
    <row r="329" spans="4:30" hidden="1" x14ac:dyDescent="0.25">
      <c r="E329" s="1"/>
      <c r="F329" s="1"/>
      <c r="G329" s="1"/>
      <c r="H329" s="1"/>
      <c r="I329" s="1"/>
      <c r="J329" s="1"/>
      <c r="K329" s="1"/>
      <c r="L329" s="1"/>
      <c r="M329" s="1"/>
      <c r="N329" s="169"/>
      <c r="O329" s="169"/>
      <c r="P329" s="169"/>
      <c r="Q329" s="169"/>
      <c r="R329" s="160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</row>
    <row r="330" spans="4:30" hidden="1" x14ac:dyDescent="0.25">
      <c r="E330" s="1"/>
      <c r="F330" s="1"/>
      <c r="G330" s="1"/>
      <c r="H330" s="1"/>
      <c r="I330" s="1"/>
      <c r="J330" s="1"/>
      <c r="K330" s="1"/>
      <c r="L330" s="1"/>
      <c r="M330" s="1"/>
      <c r="N330" s="169"/>
      <c r="O330" s="169"/>
      <c r="P330" s="169"/>
      <c r="Q330" s="169"/>
      <c r="R330" s="160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</row>
    <row r="331" spans="4:30" hidden="1" x14ac:dyDescent="0.25">
      <c r="E331" s="1"/>
      <c r="F331" s="1"/>
      <c r="G331" s="1"/>
      <c r="H331" s="1"/>
      <c r="I331" s="1"/>
      <c r="J331" s="1"/>
      <c r="K331" s="1"/>
      <c r="L331" s="1"/>
      <c r="M331" s="1"/>
      <c r="N331" s="169"/>
      <c r="O331" s="169"/>
      <c r="P331" s="169"/>
      <c r="Q331" s="169"/>
      <c r="R331" s="160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</row>
    <row r="332" spans="4:30" hidden="1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69"/>
      <c r="O332" s="169"/>
      <c r="P332" s="169"/>
      <c r="Q332" s="169"/>
      <c r="R332" s="160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</row>
    <row r="333" spans="4:30" hidden="1" x14ac:dyDescent="0.25">
      <c r="E333" s="1"/>
      <c r="F333" s="1"/>
      <c r="G333" s="1"/>
      <c r="H333" s="1"/>
      <c r="I333" s="1"/>
      <c r="J333" s="1"/>
      <c r="K333" s="1"/>
      <c r="L333" s="1"/>
      <c r="M333" s="1"/>
      <c r="N333" s="169"/>
      <c r="O333" s="169"/>
      <c r="P333" s="169"/>
      <c r="Q333" s="169"/>
      <c r="R333" s="160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</row>
    <row r="334" spans="4:30" hidden="1" x14ac:dyDescent="0.25">
      <c r="E334" s="1"/>
      <c r="F334" s="1"/>
      <c r="G334" s="1"/>
      <c r="H334" s="1"/>
      <c r="I334" s="1"/>
      <c r="J334" s="1"/>
      <c r="K334" s="1"/>
      <c r="L334" s="1"/>
      <c r="M334" s="1"/>
      <c r="N334" s="169"/>
      <c r="O334" s="169"/>
      <c r="P334" s="169"/>
      <c r="Q334" s="169"/>
      <c r="R334" s="160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</row>
    <row r="335" spans="4:30" hidden="1" x14ac:dyDescent="0.25">
      <c r="E335" s="1"/>
      <c r="F335" s="1"/>
      <c r="G335" s="1"/>
      <c r="H335" s="1"/>
      <c r="I335" s="1"/>
      <c r="J335" s="1"/>
      <c r="K335" s="1"/>
      <c r="L335" s="1"/>
      <c r="M335" s="1"/>
      <c r="N335" s="169"/>
      <c r="O335" s="169"/>
      <c r="P335" s="169"/>
      <c r="Q335" s="169"/>
      <c r="R335" s="160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</row>
    <row r="336" spans="4:30" hidden="1" x14ac:dyDescent="0.25">
      <c r="E336" s="1"/>
      <c r="F336" s="1"/>
      <c r="G336" s="1"/>
      <c r="H336" s="1"/>
      <c r="I336" s="1"/>
      <c r="J336" s="1"/>
      <c r="K336" s="1"/>
      <c r="L336" s="1"/>
      <c r="M336" s="1"/>
      <c r="N336" s="169"/>
      <c r="O336" s="169"/>
      <c r="P336" s="169"/>
      <c r="Q336" s="169"/>
      <c r="R336" s="160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</row>
    <row r="337" spans="5:30" hidden="1" x14ac:dyDescent="0.25">
      <c r="E337" s="1"/>
      <c r="F337" s="1"/>
      <c r="G337" s="1"/>
      <c r="H337" s="1"/>
      <c r="I337" s="1"/>
      <c r="J337" s="1"/>
      <c r="K337" s="1"/>
      <c r="L337" s="1"/>
      <c r="M337" s="1"/>
      <c r="N337" s="169"/>
      <c r="O337" s="169"/>
      <c r="P337" s="169"/>
      <c r="Q337" s="169"/>
      <c r="R337" s="160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</row>
    <row r="338" spans="5:30" hidden="1" x14ac:dyDescent="0.25">
      <c r="E338" s="1"/>
      <c r="F338" s="1"/>
      <c r="G338" s="1"/>
      <c r="H338" s="1"/>
      <c r="I338" s="1"/>
      <c r="J338" s="1"/>
      <c r="K338" s="1"/>
      <c r="L338" s="1"/>
      <c r="M338" s="1"/>
      <c r="N338" s="169"/>
      <c r="O338" s="169"/>
      <c r="P338" s="169"/>
      <c r="Q338" s="169"/>
      <c r="R338" s="160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</row>
    <row r="339" spans="5:30" hidden="1" x14ac:dyDescent="0.25">
      <c r="E339" s="1"/>
      <c r="F339" s="1"/>
      <c r="G339" s="1"/>
      <c r="H339" s="1"/>
      <c r="I339" s="1"/>
      <c r="J339" s="1"/>
      <c r="K339" s="1"/>
      <c r="L339" s="1"/>
      <c r="M339" s="1"/>
      <c r="N339" s="169"/>
      <c r="O339" s="169"/>
      <c r="P339" s="169"/>
      <c r="Q339" s="169"/>
      <c r="R339" s="160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</row>
    <row r="340" spans="5:30" hidden="1" x14ac:dyDescent="0.25">
      <c r="E340" s="1"/>
      <c r="F340" s="1"/>
      <c r="G340" s="1"/>
      <c r="H340" s="1"/>
      <c r="I340" s="1"/>
      <c r="J340" s="1"/>
      <c r="K340" s="1"/>
      <c r="L340" s="1"/>
      <c r="M340" s="1"/>
      <c r="N340" s="169"/>
      <c r="O340" s="169"/>
      <c r="P340" s="169"/>
      <c r="Q340" s="169"/>
      <c r="R340" s="160"/>
      <c r="S340" s="179"/>
      <c r="T340" s="179"/>
      <c r="U340" s="179"/>
      <c r="V340" s="179"/>
      <c r="W340" s="179"/>
      <c r="X340" s="179"/>
      <c r="Y340" s="179"/>
      <c r="Z340" s="179"/>
      <c r="AA340" s="179"/>
      <c r="AB340" s="179"/>
      <c r="AC340" s="179"/>
      <c r="AD340" s="179"/>
    </row>
    <row r="341" spans="5:30" hidden="1" x14ac:dyDescent="0.25">
      <c r="E341" s="1"/>
      <c r="F341" s="1"/>
      <c r="G341" s="1"/>
      <c r="H341" s="1"/>
      <c r="I341" s="1"/>
      <c r="J341" s="1"/>
      <c r="K341" s="1"/>
      <c r="L341" s="1"/>
      <c r="M341" s="1"/>
      <c r="N341" s="169"/>
      <c r="O341" s="169"/>
      <c r="P341" s="169"/>
      <c r="Q341" s="169"/>
      <c r="R341" s="160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</row>
    <row r="342" spans="5:30" hidden="1" x14ac:dyDescent="0.25">
      <c r="E342" s="1"/>
      <c r="F342" s="1"/>
      <c r="G342" s="1"/>
      <c r="H342" s="1"/>
      <c r="I342" s="1"/>
      <c r="J342" s="1"/>
      <c r="K342" s="1"/>
      <c r="L342" s="1"/>
      <c r="M342" s="1"/>
      <c r="N342" s="169"/>
      <c r="O342" s="169"/>
      <c r="P342" s="169"/>
      <c r="Q342" s="169"/>
      <c r="R342" s="160"/>
      <c r="S342" s="179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</row>
    <row r="343" spans="5:30" hidden="1" x14ac:dyDescent="0.25">
      <c r="E343" s="1"/>
      <c r="F343" s="1"/>
      <c r="G343" s="1"/>
      <c r="H343" s="1"/>
      <c r="I343" s="1"/>
      <c r="J343" s="1"/>
      <c r="K343" s="1"/>
      <c r="L343" s="1"/>
      <c r="M343" s="1"/>
      <c r="N343" s="169"/>
      <c r="O343" s="169"/>
      <c r="P343" s="169"/>
      <c r="Q343" s="169"/>
      <c r="R343" s="160"/>
      <c r="S343" s="179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</row>
    <row r="344" spans="5:30" hidden="1" x14ac:dyDescent="0.25">
      <c r="E344" s="1"/>
      <c r="F344" s="1"/>
      <c r="G344" s="1"/>
      <c r="H344" s="1"/>
      <c r="I344" s="1"/>
      <c r="J344" s="1"/>
      <c r="K344" s="1"/>
      <c r="L344" s="1"/>
      <c r="M344" s="1"/>
      <c r="N344" s="169"/>
      <c r="O344" s="169"/>
      <c r="P344" s="169"/>
      <c r="Q344" s="169"/>
      <c r="R344" s="160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</row>
    <row r="345" spans="5:30" hidden="1" x14ac:dyDescent="0.25">
      <c r="E345" s="1"/>
      <c r="F345" s="1"/>
      <c r="G345" s="1"/>
      <c r="H345" s="1"/>
      <c r="I345" s="1"/>
      <c r="J345" s="1"/>
      <c r="K345" s="1"/>
      <c r="L345" s="1"/>
      <c r="M345" s="1"/>
      <c r="N345" s="169"/>
      <c r="O345" s="169"/>
      <c r="P345" s="169"/>
      <c r="Q345" s="169"/>
      <c r="R345" s="160"/>
      <c r="S345" s="179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</row>
    <row r="346" spans="5:30" hidden="1" x14ac:dyDescent="0.25">
      <c r="E346" s="1"/>
      <c r="F346" s="1"/>
      <c r="G346" s="1"/>
      <c r="H346" s="1"/>
      <c r="I346" s="1"/>
      <c r="J346" s="1"/>
      <c r="K346" s="1"/>
      <c r="L346" s="1"/>
      <c r="M346" s="1"/>
      <c r="N346" s="169"/>
      <c r="O346" s="169"/>
      <c r="P346" s="169"/>
      <c r="Q346" s="169"/>
      <c r="R346" s="160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</row>
    <row r="347" spans="5:30" hidden="1" x14ac:dyDescent="0.25">
      <c r="E347" s="1"/>
      <c r="F347" s="1"/>
      <c r="G347" s="1"/>
      <c r="H347" s="1"/>
      <c r="I347" s="1"/>
      <c r="J347" s="1"/>
      <c r="K347" s="1"/>
      <c r="L347" s="1"/>
      <c r="M347" s="1"/>
      <c r="N347" s="169"/>
      <c r="O347" s="169"/>
      <c r="P347" s="169"/>
      <c r="Q347" s="169"/>
      <c r="R347" s="160"/>
      <c r="S347" s="179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</row>
    <row r="348" spans="5:30" hidden="1" x14ac:dyDescent="0.25">
      <c r="E348" s="1"/>
      <c r="F348" s="1"/>
      <c r="G348" s="1"/>
      <c r="H348" s="1"/>
      <c r="I348" s="1"/>
      <c r="J348" s="1"/>
      <c r="K348" s="1"/>
      <c r="L348" s="1"/>
      <c r="M348" s="1"/>
      <c r="N348" s="169"/>
      <c r="O348" s="169"/>
      <c r="P348" s="169"/>
      <c r="Q348" s="169"/>
      <c r="R348" s="160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</row>
    <row r="349" spans="5:30" hidden="1" x14ac:dyDescent="0.25">
      <c r="E349" s="1"/>
      <c r="F349" s="1"/>
      <c r="G349" s="1"/>
      <c r="H349" s="1"/>
      <c r="I349" s="1"/>
      <c r="J349" s="1"/>
      <c r="K349" s="1"/>
      <c r="L349" s="1"/>
      <c r="M349" s="1"/>
      <c r="N349" s="169"/>
      <c r="O349" s="169"/>
      <c r="P349" s="169"/>
      <c r="Q349" s="169"/>
      <c r="R349" s="160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</row>
    <row r="350" spans="5:30" hidden="1" x14ac:dyDescent="0.25">
      <c r="E350" s="1"/>
      <c r="F350" s="1"/>
      <c r="G350" s="1"/>
      <c r="H350" s="1"/>
      <c r="I350" s="1"/>
      <c r="J350" s="1"/>
      <c r="K350" s="1"/>
      <c r="L350" s="1"/>
      <c r="M350" s="1"/>
      <c r="N350" s="169"/>
      <c r="O350" s="169"/>
      <c r="P350" s="169"/>
      <c r="Q350" s="169"/>
      <c r="R350" s="160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</row>
    <row r="351" spans="5:30" hidden="1" x14ac:dyDescent="0.25">
      <c r="E351" s="1"/>
      <c r="F351" s="1"/>
      <c r="G351" s="1"/>
      <c r="H351" s="1"/>
      <c r="I351" s="1"/>
      <c r="J351" s="1"/>
      <c r="K351" s="1"/>
      <c r="L351" s="1"/>
      <c r="M351" s="1"/>
      <c r="N351" s="169"/>
      <c r="O351" s="169"/>
      <c r="P351" s="169"/>
      <c r="Q351" s="169"/>
      <c r="R351" s="160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</row>
    <row r="352" spans="5:30" hidden="1" x14ac:dyDescent="0.25">
      <c r="E352" s="1"/>
      <c r="F352" s="1"/>
      <c r="G352" s="1"/>
      <c r="H352" s="1"/>
      <c r="I352" s="1"/>
      <c r="J352" s="1"/>
      <c r="K352" s="1"/>
      <c r="L352" s="1"/>
      <c r="M352" s="1"/>
      <c r="N352" s="169"/>
      <c r="O352" s="169"/>
      <c r="P352" s="169"/>
      <c r="Q352" s="169"/>
      <c r="R352" s="160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</row>
    <row r="353" spans="5:30" hidden="1" x14ac:dyDescent="0.25">
      <c r="E353" s="1"/>
      <c r="F353" s="1"/>
      <c r="G353" s="1"/>
      <c r="H353" s="1"/>
      <c r="I353" s="1"/>
      <c r="J353" s="1"/>
      <c r="K353" s="1"/>
      <c r="L353" s="1"/>
      <c r="M353" s="1"/>
      <c r="N353" s="169"/>
      <c r="O353" s="169"/>
      <c r="P353" s="169"/>
      <c r="Q353" s="169"/>
      <c r="R353" s="160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</row>
    <row r="354" spans="5:30" hidden="1" x14ac:dyDescent="0.25">
      <c r="E354" s="1"/>
      <c r="F354" s="1"/>
      <c r="G354" s="1"/>
      <c r="H354" s="1"/>
      <c r="I354" s="1"/>
      <c r="J354" s="1"/>
      <c r="K354" s="1"/>
      <c r="L354" s="1"/>
      <c r="M354" s="1"/>
      <c r="N354" s="169"/>
      <c r="O354" s="169"/>
      <c r="P354" s="169"/>
      <c r="Q354" s="169"/>
      <c r="R354" s="160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</row>
    <row r="355" spans="5:30" hidden="1" x14ac:dyDescent="0.25">
      <c r="E355" s="1"/>
      <c r="F355" s="1"/>
      <c r="G355" s="1"/>
      <c r="H355" s="1"/>
      <c r="I355" s="1"/>
      <c r="J355" s="1"/>
      <c r="K355" s="1"/>
      <c r="L355" s="1"/>
      <c r="M355" s="1"/>
      <c r="N355" s="169"/>
      <c r="O355" s="169"/>
      <c r="P355" s="169"/>
      <c r="Q355" s="169"/>
      <c r="R355" s="160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</row>
    <row r="356" spans="5:30" hidden="1" x14ac:dyDescent="0.25">
      <c r="E356" s="1"/>
      <c r="F356" s="1"/>
      <c r="G356" s="1"/>
      <c r="H356" s="1"/>
      <c r="I356" s="1"/>
      <c r="J356" s="1"/>
      <c r="K356" s="1"/>
      <c r="L356" s="1"/>
      <c r="M356" s="1"/>
      <c r="N356" s="169"/>
      <c r="O356" s="169"/>
      <c r="P356" s="169"/>
      <c r="Q356" s="169"/>
      <c r="R356" s="160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</row>
    <row r="357" spans="5:30" hidden="1" x14ac:dyDescent="0.25">
      <c r="E357" s="1"/>
      <c r="F357" s="1"/>
      <c r="G357" s="1"/>
      <c r="H357" s="1"/>
      <c r="I357" s="1"/>
      <c r="J357" s="1"/>
      <c r="K357" s="1"/>
      <c r="L357" s="1"/>
      <c r="M357" s="1"/>
      <c r="N357" s="169"/>
      <c r="O357" s="169"/>
      <c r="P357" s="169"/>
      <c r="Q357" s="169"/>
      <c r="R357" s="160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</row>
    <row r="358" spans="5:30" hidden="1" x14ac:dyDescent="0.25">
      <c r="E358" s="1"/>
      <c r="F358" s="1"/>
      <c r="G358" s="1"/>
      <c r="H358" s="1"/>
      <c r="I358" s="1"/>
      <c r="J358" s="1"/>
      <c r="K358" s="1"/>
      <c r="L358" s="1"/>
      <c r="M358" s="1"/>
      <c r="N358" s="169"/>
      <c r="O358" s="169"/>
      <c r="P358" s="169"/>
      <c r="Q358" s="169"/>
      <c r="R358" s="160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</row>
    <row r="359" spans="5:30" hidden="1" x14ac:dyDescent="0.25">
      <c r="E359" s="1"/>
      <c r="F359" s="1"/>
      <c r="G359" s="1"/>
      <c r="H359" s="1"/>
      <c r="I359" s="1"/>
      <c r="J359" s="1"/>
      <c r="K359" s="1"/>
      <c r="L359" s="1"/>
      <c r="M359" s="1"/>
      <c r="N359" s="169"/>
      <c r="O359" s="169"/>
      <c r="P359" s="169"/>
      <c r="Q359" s="169"/>
      <c r="R359" s="160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</row>
    <row r="360" spans="5:30" hidden="1" x14ac:dyDescent="0.25">
      <c r="E360" s="1"/>
      <c r="F360" s="1"/>
      <c r="G360" s="1"/>
      <c r="H360" s="1"/>
      <c r="I360" s="1"/>
      <c r="J360" s="1"/>
      <c r="K360" s="1"/>
      <c r="L360" s="1"/>
      <c r="M360" s="1"/>
      <c r="N360" s="169"/>
      <c r="O360" s="169"/>
      <c r="P360" s="169"/>
      <c r="Q360" s="169"/>
      <c r="R360" s="160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</row>
    <row r="361" spans="5:30" hidden="1" x14ac:dyDescent="0.25">
      <c r="E361" s="1"/>
      <c r="F361" s="1"/>
      <c r="G361" s="1"/>
      <c r="H361" s="1"/>
      <c r="I361" s="1"/>
      <c r="J361" s="1"/>
      <c r="K361" s="1"/>
      <c r="L361" s="1"/>
      <c r="M361" s="1"/>
      <c r="N361" s="169"/>
      <c r="O361" s="169"/>
      <c r="P361" s="169"/>
      <c r="Q361" s="169"/>
      <c r="R361" s="160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</row>
    <row r="362" spans="5:30" hidden="1" x14ac:dyDescent="0.25">
      <c r="E362" s="1"/>
      <c r="F362" s="1"/>
      <c r="G362" s="1"/>
      <c r="H362" s="1"/>
      <c r="I362" s="1"/>
      <c r="J362" s="1"/>
      <c r="K362" s="1"/>
      <c r="L362" s="1"/>
      <c r="M362" s="1"/>
      <c r="N362" s="169"/>
      <c r="O362" s="169"/>
      <c r="P362" s="169"/>
      <c r="Q362" s="169"/>
      <c r="R362" s="160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</row>
    <row r="363" spans="5:30" hidden="1" x14ac:dyDescent="0.25">
      <c r="E363" s="1"/>
      <c r="F363" s="1"/>
      <c r="G363" s="1"/>
      <c r="H363" s="1"/>
      <c r="I363" s="1"/>
      <c r="J363" s="1"/>
      <c r="K363" s="1"/>
      <c r="L363" s="1"/>
      <c r="M363" s="1"/>
      <c r="N363" s="169"/>
      <c r="O363" s="169"/>
      <c r="P363" s="169"/>
      <c r="Q363" s="169"/>
      <c r="R363" s="160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</row>
    <row r="364" spans="5:30" hidden="1" x14ac:dyDescent="0.25">
      <c r="E364" s="1"/>
      <c r="F364" s="1"/>
      <c r="G364" s="1"/>
      <c r="H364" s="1"/>
      <c r="I364" s="1"/>
      <c r="J364" s="1"/>
      <c r="K364" s="1"/>
      <c r="L364" s="1"/>
      <c r="M364" s="1"/>
      <c r="N364" s="169"/>
      <c r="O364" s="169"/>
      <c r="P364" s="169"/>
      <c r="Q364" s="169"/>
      <c r="R364" s="160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  <c r="AC364" s="179"/>
      <c r="AD364" s="179"/>
    </row>
    <row r="365" spans="5:30" hidden="1" x14ac:dyDescent="0.25">
      <c r="E365" s="1"/>
      <c r="F365" s="1"/>
      <c r="G365" s="1"/>
      <c r="H365" s="1"/>
      <c r="I365" s="1"/>
      <c r="J365" s="1"/>
      <c r="K365" s="1"/>
      <c r="L365" s="1"/>
      <c r="M365" s="1"/>
      <c r="N365" s="169"/>
      <c r="O365" s="169"/>
      <c r="P365" s="169"/>
      <c r="Q365" s="169"/>
      <c r="R365" s="160"/>
      <c r="S365" s="179"/>
      <c r="T365" s="179"/>
      <c r="U365" s="179"/>
      <c r="V365" s="179"/>
      <c r="W365" s="179"/>
      <c r="X365" s="179"/>
      <c r="Y365" s="179"/>
      <c r="Z365" s="179"/>
      <c r="AA365" s="179"/>
      <c r="AB365" s="179"/>
      <c r="AC365" s="179"/>
      <c r="AD365" s="179"/>
    </row>
    <row r="366" spans="5:30" hidden="1" x14ac:dyDescent="0.25">
      <c r="E366" s="1"/>
      <c r="F366" s="1"/>
      <c r="G366" s="1"/>
      <c r="H366" s="1"/>
      <c r="I366" s="1"/>
      <c r="J366" s="1"/>
      <c r="K366" s="1"/>
      <c r="L366" s="1"/>
      <c r="M366" s="1"/>
      <c r="N366" s="169"/>
      <c r="O366" s="169"/>
      <c r="P366" s="169"/>
      <c r="Q366" s="169"/>
      <c r="R366" s="160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</row>
    <row r="367" spans="5:30" hidden="1" x14ac:dyDescent="0.25">
      <c r="E367" s="1"/>
      <c r="F367" s="1"/>
      <c r="G367" s="1"/>
      <c r="H367" s="1"/>
      <c r="I367" s="1"/>
      <c r="J367" s="1"/>
      <c r="K367" s="1"/>
      <c r="L367" s="1"/>
      <c r="M367" s="1"/>
      <c r="N367" s="169"/>
      <c r="O367" s="169"/>
      <c r="P367" s="169"/>
      <c r="Q367" s="169"/>
      <c r="R367" s="160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</row>
    <row r="368" spans="5:30" hidden="1" x14ac:dyDescent="0.25">
      <c r="E368" s="1"/>
      <c r="F368" s="1"/>
      <c r="G368" s="1"/>
      <c r="H368" s="1"/>
      <c r="I368" s="1"/>
      <c r="J368" s="1"/>
      <c r="K368" s="1"/>
      <c r="L368" s="1"/>
      <c r="M368" s="1"/>
      <c r="N368" s="169"/>
      <c r="O368" s="169"/>
      <c r="P368" s="169"/>
      <c r="Q368" s="169"/>
      <c r="R368" s="160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</row>
    <row r="369" spans="5:30" hidden="1" x14ac:dyDescent="0.25">
      <c r="E369" s="1"/>
      <c r="F369" s="1"/>
      <c r="G369" s="1"/>
      <c r="H369" s="1"/>
      <c r="I369" s="1"/>
      <c r="J369" s="1"/>
      <c r="K369" s="1"/>
      <c r="L369" s="1"/>
      <c r="M369" s="1"/>
      <c r="N369" s="169"/>
      <c r="O369" s="169"/>
      <c r="P369" s="169"/>
      <c r="Q369" s="169"/>
      <c r="R369" s="160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</row>
    <row r="370" spans="5:30" hidden="1" x14ac:dyDescent="0.25">
      <c r="E370" s="1"/>
      <c r="F370" s="1"/>
      <c r="G370" s="1"/>
      <c r="H370" s="1"/>
      <c r="I370" s="1"/>
      <c r="J370" s="1"/>
      <c r="K370" s="1"/>
      <c r="L370" s="1"/>
      <c r="M370" s="1"/>
      <c r="N370" s="169"/>
      <c r="O370" s="169"/>
      <c r="P370" s="169"/>
      <c r="Q370" s="169"/>
      <c r="R370" s="160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</row>
    <row r="371" spans="5:30" hidden="1" x14ac:dyDescent="0.25">
      <c r="E371" s="1"/>
      <c r="F371" s="1"/>
      <c r="G371" s="1"/>
      <c r="H371" s="1"/>
      <c r="I371" s="1"/>
      <c r="J371" s="1"/>
      <c r="K371" s="1"/>
      <c r="L371" s="1"/>
      <c r="M371" s="1"/>
      <c r="N371" s="169"/>
      <c r="O371" s="169"/>
      <c r="P371" s="169"/>
      <c r="Q371" s="169"/>
      <c r="R371" s="160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</row>
    <row r="372" spans="5:30" hidden="1" x14ac:dyDescent="0.25">
      <c r="E372" s="1"/>
      <c r="F372" s="1"/>
      <c r="G372" s="1"/>
      <c r="H372" s="1"/>
      <c r="I372" s="1"/>
      <c r="J372" s="1"/>
      <c r="K372" s="1"/>
      <c r="L372" s="1"/>
      <c r="M372" s="1"/>
      <c r="N372" s="169"/>
      <c r="O372" s="169"/>
      <c r="P372" s="169"/>
      <c r="Q372" s="169"/>
      <c r="R372" s="160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</row>
    <row r="373" spans="5:30" hidden="1" x14ac:dyDescent="0.25">
      <c r="E373" s="1"/>
      <c r="F373" s="1"/>
      <c r="G373" s="1"/>
      <c r="H373" s="1"/>
      <c r="I373" s="1"/>
      <c r="J373" s="1"/>
      <c r="K373" s="1"/>
      <c r="L373" s="1"/>
      <c r="M373" s="1"/>
      <c r="N373" s="169"/>
      <c r="O373" s="169"/>
      <c r="P373" s="169"/>
      <c r="Q373" s="169"/>
      <c r="R373" s="160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</row>
    <row r="374" spans="5:30" hidden="1" x14ac:dyDescent="0.25">
      <c r="E374" s="1"/>
      <c r="F374" s="1"/>
      <c r="G374" s="1"/>
      <c r="H374" s="1"/>
      <c r="I374" s="1"/>
      <c r="J374" s="1"/>
      <c r="K374" s="1"/>
      <c r="L374" s="1"/>
      <c r="M374" s="1"/>
      <c r="N374" s="169"/>
      <c r="O374" s="169"/>
      <c r="P374" s="169"/>
      <c r="Q374" s="169"/>
      <c r="R374" s="160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</row>
    <row r="375" spans="5:30" hidden="1" x14ac:dyDescent="0.25">
      <c r="E375" s="1"/>
      <c r="F375" s="1"/>
      <c r="G375" s="1"/>
      <c r="H375" s="1"/>
      <c r="I375" s="1"/>
      <c r="J375" s="1"/>
      <c r="K375" s="1"/>
      <c r="L375" s="1"/>
      <c r="M375" s="1"/>
      <c r="N375" s="169"/>
      <c r="O375" s="169"/>
      <c r="P375" s="169"/>
      <c r="Q375" s="169"/>
      <c r="R375" s="160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</row>
    <row r="376" spans="5:30" hidden="1" x14ac:dyDescent="0.25">
      <c r="E376" s="1"/>
      <c r="F376" s="1"/>
      <c r="G376" s="1"/>
      <c r="H376" s="1"/>
      <c r="I376" s="1"/>
      <c r="J376" s="1"/>
      <c r="K376" s="1"/>
      <c r="L376" s="1"/>
      <c r="M376" s="1"/>
      <c r="N376" s="169"/>
      <c r="O376" s="169"/>
      <c r="P376" s="169"/>
      <c r="Q376" s="169"/>
      <c r="R376" s="160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</row>
    <row r="377" spans="5:30" hidden="1" x14ac:dyDescent="0.25">
      <c r="E377" s="1"/>
      <c r="F377" s="1"/>
      <c r="G377" s="1"/>
      <c r="H377" s="1"/>
      <c r="I377" s="1"/>
      <c r="J377" s="1"/>
      <c r="K377" s="1"/>
      <c r="L377" s="1"/>
      <c r="M377" s="1"/>
      <c r="N377" s="169"/>
      <c r="O377" s="169"/>
      <c r="P377" s="169"/>
      <c r="Q377" s="169"/>
      <c r="R377" s="160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</row>
    <row r="378" spans="5:30" hidden="1" x14ac:dyDescent="0.25">
      <c r="E378" s="1"/>
      <c r="F378" s="1"/>
      <c r="G378" s="1"/>
      <c r="H378" s="1"/>
      <c r="I378" s="1"/>
      <c r="J378" s="1"/>
      <c r="K378" s="1"/>
      <c r="L378" s="1"/>
      <c r="M378" s="1"/>
      <c r="N378" s="169"/>
      <c r="O378" s="169"/>
      <c r="P378" s="169"/>
      <c r="Q378" s="169"/>
      <c r="R378" s="160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</row>
    <row r="379" spans="5:30" hidden="1" x14ac:dyDescent="0.25">
      <c r="E379" s="1"/>
      <c r="F379" s="1"/>
      <c r="G379" s="1"/>
      <c r="H379" s="1"/>
      <c r="I379" s="1"/>
      <c r="J379" s="1"/>
      <c r="K379" s="1"/>
      <c r="L379" s="1"/>
      <c r="M379" s="1"/>
      <c r="N379" s="169"/>
      <c r="O379" s="169"/>
      <c r="P379" s="169"/>
      <c r="Q379" s="169"/>
      <c r="R379" s="160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</row>
    <row r="380" spans="5:30" hidden="1" x14ac:dyDescent="0.25">
      <c r="E380" s="1"/>
      <c r="F380" s="1"/>
      <c r="G380" s="1"/>
      <c r="H380" s="1"/>
      <c r="I380" s="1"/>
      <c r="J380" s="1"/>
      <c r="K380" s="1"/>
      <c r="L380" s="1"/>
      <c r="M380" s="1"/>
      <c r="N380" s="169"/>
      <c r="O380" s="169"/>
      <c r="P380" s="169"/>
      <c r="Q380" s="169"/>
      <c r="R380" s="160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</row>
    <row r="381" spans="5:30" hidden="1" x14ac:dyDescent="0.25">
      <c r="E381" s="1"/>
      <c r="F381" s="1"/>
      <c r="G381" s="1"/>
      <c r="H381" s="1"/>
      <c r="I381" s="1"/>
      <c r="J381" s="1"/>
      <c r="K381" s="1"/>
      <c r="L381" s="1"/>
      <c r="M381" s="1"/>
      <c r="N381" s="169"/>
      <c r="O381" s="169"/>
      <c r="P381" s="169"/>
      <c r="Q381" s="169"/>
      <c r="R381" s="160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</row>
    <row r="382" spans="5:30" hidden="1" x14ac:dyDescent="0.25">
      <c r="E382" s="1"/>
      <c r="F382" s="1"/>
      <c r="G382" s="1"/>
      <c r="H382" s="1"/>
      <c r="I382" s="1"/>
      <c r="J382" s="1"/>
      <c r="K382" s="1"/>
      <c r="L382" s="1"/>
      <c r="M382" s="1"/>
      <c r="N382" s="169"/>
      <c r="O382" s="169"/>
      <c r="P382" s="169"/>
      <c r="Q382" s="169"/>
      <c r="R382" s="160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</row>
    <row r="383" spans="5:30" hidden="1" x14ac:dyDescent="0.25">
      <c r="E383" s="1"/>
      <c r="F383" s="1"/>
      <c r="G383" s="1"/>
      <c r="H383" s="1"/>
      <c r="I383" s="1"/>
      <c r="J383" s="1"/>
      <c r="K383" s="1"/>
      <c r="L383" s="1"/>
      <c r="M383" s="1"/>
      <c r="N383" s="169"/>
      <c r="O383" s="169"/>
      <c r="P383" s="169"/>
      <c r="Q383" s="169"/>
      <c r="R383" s="160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</row>
    <row r="384" spans="5:30" hidden="1" x14ac:dyDescent="0.25">
      <c r="E384" s="1"/>
      <c r="F384" s="1"/>
      <c r="G384" s="1"/>
      <c r="H384" s="1"/>
      <c r="I384" s="1"/>
      <c r="J384" s="1"/>
      <c r="K384" s="1"/>
      <c r="L384" s="1"/>
      <c r="M384" s="1"/>
      <c r="N384" s="169"/>
      <c r="O384" s="169"/>
      <c r="P384" s="169"/>
      <c r="Q384" s="169"/>
      <c r="R384" s="160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</row>
    <row r="385" spans="5:30" hidden="1" x14ac:dyDescent="0.25">
      <c r="E385" s="1"/>
      <c r="F385" s="1"/>
      <c r="G385" s="1"/>
      <c r="H385" s="1"/>
      <c r="I385" s="1"/>
      <c r="J385" s="1"/>
      <c r="K385" s="1"/>
      <c r="L385" s="1"/>
      <c r="M385" s="1"/>
      <c r="N385" s="169"/>
      <c r="O385" s="169"/>
      <c r="P385" s="169"/>
      <c r="Q385" s="169"/>
      <c r="R385" s="160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</row>
    <row r="386" spans="5:30" hidden="1" x14ac:dyDescent="0.25">
      <c r="E386" s="1"/>
      <c r="F386" s="1"/>
      <c r="G386" s="1"/>
      <c r="H386" s="1"/>
      <c r="I386" s="1"/>
      <c r="J386" s="1"/>
      <c r="K386" s="1"/>
      <c r="L386" s="1"/>
      <c r="M386" s="1"/>
      <c r="N386" s="169"/>
      <c r="O386" s="169"/>
      <c r="P386" s="169"/>
      <c r="Q386" s="169"/>
      <c r="R386" s="160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</row>
    <row r="387" spans="5:30" hidden="1" x14ac:dyDescent="0.25">
      <c r="E387" s="1"/>
      <c r="F387" s="1"/>
      <c r="G387" s="1"/>
      <c r="H387" s="1"/>
      <c r="I387" s="1"/>
      <c r="J387" s="1"/>
      <c r="K387" s="1"/>
      <c r="L387" s="1"/>
      <c r="M387" s="1"/>
      <c r="N387" s="169"/>
      <c r="O387" s="169"/>
      <c r="P387" s="169"/>
      <c r="Q387" s="169"/>
      <c r="R387" s="160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</row>
    <row r="388" spans="5:30" hidden="1" x14ac:dyDescent="0.25">
      <c r="E388" s="1"/>
      <c r="F388" s="1"/>
      <c r="G388" s="1"/>
      <c r="H388" s="1"/>
      <c r="I388" s="1"/>
      <c r="J388" s="1"/>
      <c r="K388" s="1"/>
      <c r="L388" s="1"/>
      <c r="M388" s="1"/>
      <c r="N388" s="169"/>
      <c r="O388" s="169"/>
      <c r="P388" s="169"/>
      <c r="Q388" s="169"/>
      <c r="R388" s="160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</row>
    <row r="389" spans="5:30" hidden="1" x14ac:dyDescent="0.25">
      <c r="E389" s="1"/>
      <c r="F389" s="1"/>
      <c r="G389" s="1"/>
      <c r="H389" s="1"/>
      <c r="I389" s="1"/>
      <c r="J389" s="1"/>
      <c r="K389" s="1"/>
      <c r="L389" s="1"/>
      <c r="M389" s="1"/>
      <c r="N389" s="169"/>
      <c r="O389" s="169"/>
      <c r="P389" s="169"/>
      <c r="Q389" s="169"/>
      <c r="R389" s="160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</row>
    <row r="390" spans="5:30" hidden="1" x14ac:dyDescent="0.25">
      <c r="E390" s="1"/>
      <c r="F390" s="1"/>
      <c r="G390" s="1"/>
      <c r="H390" s="1"/>
      <c r="I390" s="1"/>
      <c r="J390" s="1"/>
      <c r="K390" s="1"/>
      <c r="L390" s="1"/>
      <c r="M390" s="1"/>
      <c r="N390" s="169"/>
      <c r="O390" s="169"/>
      <c r="P390" s="169"/>
      <c r="Q390" s="169"/>
      <c r="R390" s="160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</row>
    <row r="391" spans="5:30" hidden="1" x14ac:dyDescent="0.25">
      <c r="E391" s="1"/>
      <c r="F391" s="1"/>
      <c r="G391" s="1"/>
      <c r="H391" s="1"/>
      <c r="I391" s="1"/>
      <c r="J391" s="1"/>
      <c r="K391" s="1"/>
      <c r="L391" s="1"/>
      <c r="M391" s="1"/>
      <c r="N391" s="169"/>
      <c r="O391" s="169"/>
      <c r="P391" s="169"/>
      <c r="Q391" s="169"/>
      <c r="R391" s="160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</row>
    <row r="392" spans="5:30" hidden="1" x14ac:dyDescent="0.25">
      <c r="E392" s="1"/>
      <c r="F392" s="1"/>
      <c r="G392" s="1"/>
      <c r="H392" s="1"/>
      <c r="I392" s="1"/>
      <c r="J392" s="1"/>
      <c r="K392" s="1"/>
      <c r="L392" s="1"/>
      <c r="M392" s="1"/>
      <c r="N392" s="169"/>
      <c r="O392" s="169"/>
      <c r="P392" s="169"/>
      <c r="Q392" s="169"/>
      <c r="R392" s="160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</row>
    <row r="393" spans="5:30" hidden="1" x14ac:dyDescent="0.25">
      <c r="E393" s="1"/>
      <c r="F393" s="1"/>
      <c r="G393" s="1"/>
      <c r="H393" s="1"/>
      <c r="I393" s="1"/>
      <c r="J393" s="1"/>
      <c r="K393" s="1"/>
      <c r="L393" s="1"/>
      <c r="M393" s="1"/>
      <c r="N393" s="169"/>
      <c r="O393" s="169"/>
      <c r="P393" s="169"/>
      <c r="Q393" s="169"/>
      <c r="R393" s="160"/>
      <c r="S393" s="179"/>
      <c r="T393" s="179"/>
      <c r="U393" s="179"/>
      <c r="V393" s="179"/>
      <c r="W393" s="179"/>
      <c r="X393" s="179"/>
      <c r="Y393" s="179"/>
      <c r="Z393" s="179"/>
      <c r="AA393" s="179"/>
      <c r="AB393" s="179"/>
      <c r="AC393" s="179"/>
      <c r="AD393" s="179"/>
    </row>
    <row r="394" spans="5:30" hidden="1" x14ac:dyDescent="0.25">
      <c r="E394" s="1"/>
      <c r="F394" s="1"/>
      <c r="G394" s="1"/>
      <c r="H394" s="1"/>
      <c r="I394" s="1"/>
      <c r="J394" s="1"/>
      <c r="K394" s="1"/>
      <c r="L394" s="1"/>
      <c r="M394" s="1"/>
      <c r="N394" s="169"/>
      <c r="O394" s="169"/>
      <c r="P394" s="169"/>
      <c r="Q394" s="169"/>
      <c r="R394" s="160"/>
      <c r="S394" s="179"/>
      <c r="T394" s="179"/>
      <c r="U394" s="179"/>
      <c r="V394" s="179"/>
      <c r="W394" s="179"/>
      <c r="X394" s="179"/>
      <c r="Y394" s="179"/>
      <c r="Z394" s="179"/>
      <c r="AA394" s="179"/>
      <c r="AB394" s="179"/>
      <c r="AC394" s="179"/>
      <c r="AD394" s="179"/>
    </row>
    <row r="395" spans="5:30" hidden="1" x14ac:dyDescent="0.25">
      <c r="E395" s="1"/>
      <c r="F395" s="1"/>
      <c r="G395" s="1"/>
      <c r="H395" s="1"/>
      <c r="I395" s="1"/>
      <c r="J395" s="1"/>
      <c r="K395" s="1"/>
      <c r="L395" s="1"/>
      <c r="M395" s="1"/>
      <c r="N395" s="169"/>
      <c r="O395" s="169"/>
      <c r="P395" s="169"/>
      <c r="Q395" s="169"/>
      <c r="R395" s="160"/>
      <c r="S395" s="179"/>
      <c r="T395" s="179"/>
      <c r="U395" s="179"/>
      <c r="V395" s="179"/>
      <c r="W395" s="179"/>
      <c r="X395" s="179"/>
      <c r="Y395" s="179"/>
      <c r="Z395" s="179"/>
      <c r="AA395" s="179"/>
      <c r="AB395" s="179"/>
      <c r="AC395" s="179"/>
      <c r="AD395" s="179"/>
    </row>
    <row r="396" spans="5:30" hidden="1" x14ac:dyDescent="0.25">
      <c r="E396" s="1"/>
      <c r="F396" s="1"/>
      <c r="G396" s="1"/>
      <c r="H396" s="1"/>
      <c r="I396" s="1"/>
      <c r="J396" s="1"/>
      <c r="K396" s="1"/>
      <c r="L396" s="1"/>
      <c r="M396" s="1"/>
      <c r="N396" s="169"/>
      <c r="O396" s="169"/>
      <c r="P396" s="169"/>
      <c r="Q396" s="169"/>
      <c r="R396" s="160"/>
      <c r="S396" s="179"/>
      <c r="T396" s="179"/>
      <c r="U396" s="179"/>
      <c r="V396" s="179"/>
      <c r="W396" s="179"/>
      <c r="X396" s="179"/>
      <c r="Y396" s="179"/>
      <c r="Z396" s="179"/>
      <c r="AA396" s="179"/>
      <c r="AB396" s="179"/>
      <c r="AC396" s="179"/>
      <c r="AD396" s="179"/>
    </row>
    <row r="397" spans="5:30" hidden="1" x14ac:dyDescent="0.25">
      <c r="E397" s="1"/>
      <c r="F397" s="1"/>
      <c r="G397" s="1"/>
      <c r="H397" s="1"/>
      <c r="I397" s="1"/>
      <c r="J397" s="1"/>
      <c r="K397" s="1"/>
      <c r="L397" s="1"/>
      <c r="M397" s="1"/>
      <c r="N397" s="169"/>
      <c r="O397" s="169"/>
      <c r="P397" s="169"/>
      <c r="Q397" s="169"/>
      <c r="R397" s="160"/>
      <c r="S397" s="179"/>
      <c r="T397" s="179"/>
      <c r="U397" s="179"/>
      <c r="V397" s="179"/>
      <c r="W397" s="179"/>
      <c r="X397" s="179"/>
      <c r="Y397" s="179"/>
      <c r="Z397" s="179"/>
      <c r="AA397" s="179"/>
      <c r="AB397" s="179"/>
      <c r="AC397" s="179"/>
      <c r="AD397" s="179"/>
    </row>
    <row r="398" spans="5:30" hidden="1" x14ac:dyDescent="0.25">
      <c r="E398" s="1"/>
      <c r="F398" s="1"/>
      <c r="G398" s="1"/>
      <c r="H398" s="1"/>
      <c r="I398" s="1"/>
      <c r="J398" s="1"/>
      <c r="K398" s="1"/>
      <c r="L398" s="1"/>
      <c r="M398" s="1"/>
      <c r="N398" s="169"/>
      <c r="O398" s="169"/>
      <c r="P398" s="169"/>
      <c r="Q398" s="169"/>
      <c r="R398" s="160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179"/>
      <c r="AD398" s="179"/>
    </row>
    <row r="399" spans="5:30" hidden="1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69"/>
      <c r="O399" s="169"/>
      <c r="P399" s="169"/>
      <c r="Q399" s="169"/>
      <c r="R399" s="160"/>
      <c r="S399" s="179"/>
      <c r="T399" s="179"/>
      <c r="U399" s="179"/>
      <c r="V399" s="179"/>
      <c r="W399" s="179"/>
      <c r="X399" s="179"/>
      <c r="Y399" s="179"/>
      <c r="Z399" s="179"/>
      <c r="AA399" s="179"/>
      <c r="AB399" s="179"/>
      <c r="AC399" s="179"/>
      <c r="AD399" s="179"/>
    </row>
    <row r="400" spans="5:30" hidden="1" x14ac:dyDescent="0.25">
      <c r="E400" s="1"/>
      <c r="F400" s="1"/>
      <c r="G400" s="1"/>
      <c r="H400" s="1"/>
      <c r="I400" s="1"/>
      <c r="J400" s="1"/>
      <c r="K400" s="1"/>
      <c r="L400" s="1"/>
      <c r="M400" s="1"/>
      <c r="N400" s="169"/>
      <c r="O400" s="169"/>
      <c r="P400" s="169"/>
      <c r="Q400" s="169"/>
      <c r="R400" s="160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</row>
    <row r="401" spans="5:30" hidden="1" x14ac:dyDescent="0.25">
      <c r="E401" s="1"/>
      <c r="F401" s="1"/>
      <c r="G401" s="1"/>
      <c r="H401" s="1"/>
      <c r="I401" s="1"/>
      <c r="J401" s="1"/>
      <c r="K401" s="1"/>
      <c r="L401" s="1"/>
      <c r="M401" s="1"/>
      <c r="N401" s="169"/>
      <c r="O401" s="169"/>
      <c r="P401" s="169"/>
      <c r="Q401" s="169"/>
      <c r="R401" s="160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79"/>
      <c r="AD401" s="179"/>
    </row>
    <row r="402" spans="5:30" hidden="1" x14ac:dyDescent="0.25">
      <c r="E402" s="1"/>
      <c r="F402" s="1"/>
      <c r="G402" s="1"/>
      <c r="H402" s="1"/>
      <c r="I402" s="1"/>
      <c r="J402" s="1"/>
      <c r="K402" s="1"/>
      <c r="L402" s="1"/>
      <c r="M402" s="1"/>
      <c r="N402" s="169"/>
      <c r="O402" s="169"/>
      <c r="P402" s="169"/>
      <c r="Q402" s="169"/>
      <c r="R402" s="160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</row>
    <row r="403" spans="5:30" hidden="1" x14ac:dyDescent="0.25">
      <c r="E403" s="224"/>
      <c r="F403" s="224"/>
      <c r="G403" s="224"/>
      <c r="H403" s="224"/>
      <c r="I403" s="224"/>
      <c r="J403" s="224"/>
      <c r="K403" s="224"/>
      <c r="L403" s="1"/>
      <c r="M403" s="1"/>
      <c r="N403" s="169"/>
      <c r="O403" s="169"/>
      <c r="P403" s="169"/>
      <c r="Q403" s="169"/>
      <c r="R403" s="160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</row>
    <row r="404" spans="5:30" hidden="1" x14ac:dyDescent="0.25">
      <c r="E404" s="1"/>
      <c r="F404" s="1"/>
      <c r="G404" s="1"/>
      <c r="H404" s="1"/>
      <c r="I404" s="1"/>
      <c r="J404" s="1"/>
      <c r="K404" s="1"/>
      <c r="L404" s="1"/>
      <c r="M404" s="1"/>
      <c r="N404" s="169"/>
      <c r="O404" s="169"/>
      <c r="P404" s="169"/>
      <c r="Q404" s="169"/>
      <c r="R404" s="160"/>
      <c r="S404" s="161"/>
      <c r="T404" s="161"/>
      <c r="U404" s="161"/>
      <c r="V404" s="161"/>
    </row>
    <row r="405" spans="5:30" hidden="1" x14ac:dyDescent="0.25">
      <c r="E405" s="1"/>
      <c r="F405" s="1"/>
      <c r="G405" s="1"/>
      <c r="H405" s="1"/>
      <c r="I405" s="1"/>
      <c r="J405" s="1"/>
      <c r="K405" s="1"/>
      <c r="L405" s="1"/>
      <c r="M405" s="1"/>
      <c r="N405" s="169"/>
      <c r="O405" s="169"/>
      <c r="P405" s="169"/>
      <c r="Q405" s="169"/>
      <c r="R405" s="160"/>
      <c r="S405" s="161"/>
      <c r="T405" s="161"/>
      <c r="U405" s="161"/>
      <c r="V405" s="161"/>
    </row>
    <row r="406" spans="5:30" hidden="1" x14ac:dyDescent="0.25">
      <c r="E406" s="1"/>
      <c r="F406" s="1"/>
      <c r="G406" s="1"/>
      <c r="H406" s="1"/>
      <c r="I406" s="1"/>
      <c r="J406" s="1"/>
      <c r="K406" s="1"/>
      <c r="L406" s="1"/>
      <c r="M406" s="1"/>
      <c r="N406" s="169"/>
      <c r="O406" s="169"/>
      <c r="P406" s="169"/>
      <c r="Q406" s="169"/>
      <c r="R406" s="160"/>
      <c r="S406" s="161"/>
      <c r="T406" s="161"/>
      <c r="U406" s="161"/>
      <c r="V406" s="161"/>
    </row>
    <row r="407" spans="5:30" hidden="1" x14ac:dyDescent="0.25">
      <c r="E407" s="1"/>
      <c r="F407" s="1"/>
      <c r="G407" s="1"/>
      <c r="H407" s="1"/>
      <c r="I407" s="1"/>
      <c r="J407" s="1"/>
      <c r="K407" s="1"/>
      <c r="L407" s="1"/>
      <c r="M407" s="1"/>
      <c r="N407" s="169"/>
      <c r="O407" s="169"/>
      <c r="P407" s="169"/>
      <c r="Q407" s="169"/>
      <c r="R407" s="160"/>
      <c r="S407" s="161"/>
      <c r="T407" s="161"/>
      <c r="U407" s="161"/>
      <c r="V407" s="161"/>
    </row>
    <row r="408" spans="5:30" hidden="1" x14ac:dyDescent="0.25">
      <c r="E408" s="1"/>
      <c r="F408" s="1"/>
      <c r="G408" s="1"/>
      <c r="H408" s="1"/>
      <c r="I408" s="1"/>
      <c r="J408" s="1"/>
      <c r="K408" s="1"/>
      <c r="L408" s="1"/>
      <c r="M408" s="1"/>
      <c r="N408" s="169"/>
      <c r="O408" s="169"/>
      <c r="P408" s="169"/>
      <c r="Q408" s="169"/>
      <c r="R408" s="160"/>
      <c r="S408" s="161"/>
      <c r="T408" s="161"/>
      <c r="U408" s="161"/>
      <c r="V408" s="161"/>
    </row>
    <row r="409" spans="5:30" hidden="1" x14ac:dyDescent="0.25">
      <c r="E409" s="1"/>
      <c r="F409" s="1"/>
      <c r="G409" s="1"/>
      <c r="H409" s="1"/>
      <c r="I409" s="1"/>
      <c r="J409" s="1"/>
      <c r="K409" s="1"/>
      <c r="L409" s="1"/>
      <c r="M409" s="1"/>
      <c r="N409" s="169"/>
      <c r="O409" s="169"/>
      <c r="P409" s="169"/>
      <c r="Q409" s="169"/>
      <c r="R409" s="160"/>
      <c r="S409" s="161"/>
      <c r="T409" s="161"/>
      <c r="U409" s="161"/>
      <c r="V409" s="161"/>
    </row>
    <row r="410" spans="5:30" hidden="1" x14ac:dyDescent="0.25">
      <c r="E410" s="1"/>
      <c r="F410" s="1"/>
      <c r="G410" s="1"/>
      <c r="H410" s="1"/>
      <c r="I410" s="1"/>
      <c r="J410" s="1"/>
      <c r="K410" s="1"/>
      <c r="L410" s="1"/>
      <c r="M410" s="1"/>
      <c r="N410" s="169"/>
      <c r="O410" s="169"/>
      <c r="P410" s="169"/>
      <c r="Q410" s="169"/>
      <c r="R410" s="160"/>
      <c r="S410" s="161"/>
      <c r="T410" s="161"/>
      <c r="U410" s="161"/>
      <c r="V410" s="161"/>
    </row>
    <row r="411" spans="5:30" hidden="1" x14ac:dyDescent="0.25">
      <c r="E411" s="1"/>
      <c r="F411" s="1"/>
      <c r="G411" s="1"/>
      <c r="H411" s="1"/>
      <c r="I411" s="1"/>
      <c r="J411" s="1"/>
      <c r="K411" s="1"/>
      <c r="L411" s="1"/>
      <c r="M411" s="1"/>
      <c r="N411" s="169"/>
      <c r="O411" s="169"/>
      <c r="P411" s="169"/>
      <c r="Q411" s="169"/>
      <c r="R411" s="160"/>
      <c r="S411" s="161"/>
      <c r="T411" s="161"/>
      <c r="U411" s="161"/>
      <c r="V411" s="161"/>
    </row>
    <row r="412" spans="5:30" hidden="1" x14ac:dyDescent="0.25">
      <c r="E412" s="1"/>
      <c r="F412" s="1"/>
      <c r="G412" s="1"/>
      <c r="H412" s="1"/>
      <c r="I412" s="1"/>
      <c r="J412" s="1"/>
      <c r="K412" s="1"/>
      <c r="L412" s="1"/>
      <c r="M412" s="1"/>
      <c r="N412" s="169"/>
      <c r="O412" s="169"/>
      <c r="P412" s="169"/>
      <c r="Q412" s="169"/>
      <c r="R412" s="160"/>
      <c r="S412" s="161"/>
      <c r="T412" s="161"/>
      <c r="U412" s="161"/>
      <c r="V412" s="161"/>
    </row>
    <row r="413" spans="5:30" hidden="1" x14ac:dyDescent="0.25">
      <c r="E413" s="1"/>
      <c r="F413" s="1"/>
      <c r="G413" s="1"/>
      <c r="H413" s="1"/>
      <c r="I413" s="1"/>
      <c r="J413" s="1"/>
      <c r="K413" s="1"/>
      <c r="L413" s="1"/>
      <c r="M413" s="1"/>
      <c r="N413" s="169"/>
      <c r="O413" s="169"/>
      <c r="P413" s="169"/>
      <c r="Q413" s="169"/>
      <c r="R413" s="160"/>
      <c r="S413" s="161"/>
      <c r="T413" s="161"/>
      <c r="U413" s="161"/>
      <c r="V413" s="161"/>
    </row>
    <row r="414" spans="5:30" hidden="1" x14ac:dyDescent="0.25">
      <c r="E414" s="1"/>
      <c r="F414" s="1"/>
      <c r="G414" s="1"/>
      <c r="H414" s="1"/>
      <c r="I414" s="1"/>
      <c r="J414" s="1"/>
      <c r="K414" s="1"/>
      <c r="L414" s="1"/>
      <c r="M414" s="1"/>
      <c r="N414" s="169"/>
      <c r="O414" s="169"/>
      <c r="P414" s="169"/>
      <c r="Q414" s="169"/>
      <c r="R414" s="160"/>
      <c r="S414" s="161"/>
      <c r="T414" s="161"/>
      <c r="U414" s="161"/>
      <c r="V414" s="161"/>
    </row>
    <row r="415" spans="5:30" hidden="1" x14ac:dyDescent="0.25">
      <c r="E415" s="1"/>
      <c r="F415" s="1"/>
      <c r="G415" s="1"/>
      <c r="H415" s="1"/>
      <c r="I415" s="1"/>
      <c r="J415" s="1"/>
      <c r="K415" s="1"/>
      <c r="L415" s="1"/>
      <c r="M415" s="1"/>
      <c r="N415" s="169"/>
      <c r="O415" s="169"/>
      <c r="P415" s="169"/>
      <c r="Q415" s="169"/>
      <c r="R415" s="160"/>
      <c r="S415" s="161"/>
      <c r="T415" s="161"/>
      <c r="U415" s="161"/>
      <c r="V415" s="161"/>
    </row>
    <row r="416" spans="5:30" hidden="1" x14ac:dyDescent="0.25">
      <c r="E416" s="1"/>
      <c r="F416" s="1"/>
      <c r="G416" s="1"/>
      <c r="H416" s="1"/>
      <c r="I416" s="1"/>
      <c r="J416" s="1"/>
      <c r="K416" s="1"/>
      <c r="L416" s="1"/>
      <c r="M416" s="1"/>
      <c r="N416" s="169"/>
      <c r="O416" s="169"/>
      <c r="P416" s="169"/>
      <c r="Q416" s="169"/>
      <c r="R416" s="160"/>
      <c r="S416" s="161"/>
      <c r="T416" s="161"/>
      <c r="U416" s="161"/>
      <c r="V416" s="161"/>
    </row>
    <row r="417" spans="5:22" hidden="1" x14ac:dyDescent="0.25">
      <c r="E417" s="1"/>
      <c r="F417" s="1"/>
      <c r="G417" s="1"/>
      <c r="H417" s="1"/>
      <c r="I417" s="1"/>
      <c r="J417" s="1"/>
      <c r="K417" s="1"/>
      <c r="L417" s="1"/>
      <c r="M417" s="1"/>
      <c r="N417" s="169"/>
      <c r="O417" s="169"/>
      <c r="P417" s="169"/>
      <c r="Q417" s="169"/>
      <c r="R417" s="160"/>
      <c r="S417" s="161"/>
      <c r="T417" s="161"/>
      <c r="U417" s="161"/>
      <c r="V417" s="161"/>
    </row>
    <row r="418" spans="5:22" hidden="1" x14ac:dyDescent="0.25">
      <c r="E418" s="1"/>
      <c r="F418" s="1"/>
      <c r="G418" s="1"/>
      <c r="H418" s="1"/>
      <c r="I418" s="1"/>
      <c r="J418" s="1"/>
      <c r="K418" s="1"/>
      <c r="L418" s="1"/>
      <c r="M418" s="1"/>
      <c r="N418" s="169"/>
      <c r="O418" s="169"/>
      <c r="P418" s="169"/>
      <c r="Q418" s="169"/>
      <c r="R418" s="160"/>
      <c r="S418" s="161"/>
      <c r="T418" s="161"/>
      <c r="U418" s="161"/>
      <c r="V418" s="161"/>
    </row>
    <row r="419" spans="5:22" hidden="1" x14ac:dyDescent="0.25">
      <c r="E419" s="1"/>
      <c r="F419" s="1"/>
      <c r="G419" s="1"/>
      <c r="H419" s="1"/>
      <c r="I419" s="1"/>
      <c r="J419" s="1"/>
      <c r="K419" s="1"/>
      <c r="L419" s="1"/>
      <c r="M419" s="1"/>
      <c r="N419" s="169"/>
      <c r="O419" s="169"/>
      <c r="P419" s="169"/>
      <c r="Q419" s="169"/>
      <c r="R419" s="160"/>
      <c r="S419" s="161"/>
      <c r="T419" s="161"/>
      <c r="U419" s="161"/>
      <c r="V419" s="161"/>
    </row>
    <row r="420" spans="5:22" hidden="1" x14ac:dyDescent="0.25">
      <c r="E420" s="1"/>
      <c r="F420" s="1"/>
      <c r="G420" s="1"/>
      <c r="H420" s="1"/>
      <c r="I420" s="1"/>
      <c r="J420" s="1"/>
      <c r="K420" s="1"/>
      <c r="L420" s="1"/>
      <c r="M420" s="1"/>
      <c r="N420" s="169"/>
      <c r="O420" s="169"/>
      <c r="P420" s="169"/>
      <c r="Q420" s="169"/>
      <c r="R420" s="160"/>
      <c r="S420" s="161"/>
      <c r="T420" s="161"/>
      <c r="U420" s="161"/>
      <c r="V420" s="161"/>
    </row>
    <row r="421" spans="5:22" hidden="1" x14ac:dyDescent="0.25">
      <c r="E421" s="1"/>
      <c r="F421" s="1"/>
      <c r="G421" s="1"/>
      <c r="H421" s="1"/>
      <c r="I421" s="1"/>
      <c r="J421" s="1"/>
      <c r="K421" s="1"/>
      <c r="L421" s="1"/>
      <c r="M421" s="1"/>
      <c r="N421" s="169"/>
      <c r="O421" s="169"/>
      <c r="P421" s="169"/>
      <c r="Q421" s="169"/>
      <c r="R421" s="160"/>
      <c r="S421" s="161"/>
      <c r="T421" s="161"/>
      <c r="U421" s="161"/>
      <c r="V421" s="161"/>
    </row>
    <row r="422" spans="5:22" hidden="1" x14ac:dyDescent="0.25">
      <c r="E422" s="1"/>
      <c r="F422" s="1"/>
      <c r="G422" s="1"/>
      <c r="H422" s="1"/>
      <c r="I422" s="1"/>
      <c r="J422" s="1"/>
      <c r="K422" s="1"/>
      <c r="L422" s="1"/>
      <c r="M422" s="1"/>
      <c r="N422" s="169"/>
      <c r="O422" s="169"/>
      <c r="P422" s="169"/>
      <c r="Q422" s="169"/>
      <c r="R422" s="160"/>
      <c r="S422" s="161"/>
      <c r="T422" s="161"/>
      <c r="U422" s="161"/>
      <c r="V422" s="161"/>
    </row>
    <row r="423" spans="5:22" hidden="1" x14ac:dyDescent="0.25">
      <c r="E423" s="1"/>
      <c r="F423" s="1"/>
      <c r="G423" s="1"/>
      <c r="H423" s="1"/>
      <c r="I423" s="1"/>
      <c r="J423" s="1"/>
      <c r="K423" s="1"/>
      <c r="L423" s="1"/>
      <c r="M423" s="1"/>
      <c r="N423" s="169"/>
      <c r="O423" s="169"/>
      <c r="P423" s="169"/>
      <c r="Q423" s="169"/>
      <c r="R423" s="160"/>
      <c r="S423" s="161"/>
      <c r="T423" s="161"/>
      <c r="U423" s="161"/>
      <c r="V423" s="161"/>
    </row>
    <row r="424" spans="5:22" hidden="1" x14ac:dyDescent="0.25">
      <c r="E424" s="1"/>
      <c r="F424" s="1"/>
      <c r="G424" s="1"/>
      <c r="H424" s="1"/>
      <c r="I424" s="1"/>
      <c r="J424" s="1"/>
      <c r="K424" s="1"/>
      <c r="L424" s="1"/>
      <c r="M424" s="1"/>
      <c r="N424" s="169"/>
      <c r="O424" s="169"/>
      <c r="P424" s="169"/>
      <c r="Q424" s="169"/>
      <c r="R424" s="160"/>
      <c r="S424" s="161"/>
      <c r="T424" s="161"/>
      <c r="U424" s="161"/>
      <c r="V424" s="161"/>
    </row>
    <row r="425" spans="5:22" hidden="1" x14ac:dyDescent="0.25">
      <c r="E425" s="1"/>
      <c r="F425" s="1"/>
      <c r="G425" s="1"/>
      <c r="H425" s="1"/>
      <c r="I425" s="1"/>
      <c r="J425" s="1"/>
      <c r="K425" s="1"/>
      <c r="L425" s="1"/>
      <c r="M425" s="1"/>
      <c r="N425" s="169"/>
      <c r="O425" s="169"/>
      <c r="P425" s="169"/>
      <c r="Q425" s="169"/>
      <c r="R425" s="160"/>
      <c r="S425" s="161"/>
      <c r="T425" s="161"/>
      <c r="U425" s="161"/>
      <c r="V425" s="161"/>
    </row>
    <row r="426" spans="5:22" hidden="1" x14ac:dyDescent="0.25">
      <c r="E426" s="1"/>
      <c r="F426" s="1"/>
      <c r="G426" s="1"/>
      <c r="H426" s="1"/>
      <c r="I426" s="1"/>
      <c r="J426" s="1"/>
      <c r="K426" s="1"/>
      <c r="L426" s="1"/>
      <c r="M426" s="1"/>
      <c r="N426" s="169"/>
      <c r="O426" s="169"/>
      <c r="P426" s="169"/>
      <c r="Q426" s="169"/>
      <c r="R426" s="160"/>
      <c r="S426" s="161"/>
      <c r="T426" s="161"/>
      <c r="U426" s="161"/>
      <c r="V426" s="161"/>
    </row>
    <row r="427" spans="5:22" hidden="1" x14ac:dyDescent="0.25">
      <c r="E427" s="1"/>
      <c r="F427" s="1"/>
      <c r="G427" s="1"/>
      <c r="H427" s="1"/>
      <c r="I427" s="1"/>
      <c r="J427" s="1"/>
      <c r="K427" s="1"/>
      <c r="L427" s="1"/>
      <c r="M427" s="1"/>
      <c r="N427" s="169"/>
      <c r="O427" s="169"/>
      <c r="P427" s="169"/>
      <c r="Q427" s="169"/>
      <c r="R427" s="160"/>
      <c r="S427" s="161"/>
      <c r="T427" s="161"/>
      <c r="U427" s="161"/>
      <c r="V427" s="161"/>
    </row>
    <row r="428" spans="5:22" hidden="1" x14ac:dyDescent="0.25">
      <c r="E428" s="1"/>
      <c r="F428" s="1"/>
      <c r="G428" s="1"/>
      <c r="H428" s="1"/>
      <c r="I428" s="1"/>
      <c r="J428" s="1"/>
      <c r="K428" s="1"/>
      <c r="L428" s="1"/>
      <c r="M428" s="1"/>
      <c r="N428" s="169"/>
      <c r="O428" s="169"/>
      <c r="P428" s="169"/>
      <c r="Q428" s="169"/>
      <c r="R428" s="160"/>
      <c r="S428" s="161"/>
      <c r="T428" s="161"/>
      <c r="U428" s="161"/>
      <c r="V428" s="161"/>
    </row>
    <row r="429" spans="5:22" hidden="1" x14ac:dyDescent="0.25">
      <c r="E429" s="1"/>
      <c r="F429" s="1"/>
      <c r="G429" s="1"/>
      <c r="H429" s="1"/>
      <c r="I429" s="1"/>
      <c r="J429" s="1"/>
      <c r="K429" s="1"/>
      <c r="L429" s="1"/>
      <c r="M429" s="1"/>
      <c r="N429" s="169"/>
      <c r="O429" s="169"/>
      <c r="P429" s="169"/>
      <c r="Q429" s="169"/>
      <c r="R429" s="160"/>
      <c r="S429" s="161"/>
      <c r="T429" s="161"/>
      <c r="U429" s="161"/>
      <c r="V429" s="161"/>
    </row>
    <row r="430" spans="5:22" hidden="1" x14ac:dyDescent="0.25">
      <c r="E430" s="1"/>
      <c r="F430" s="1"/>
      <c r="G430" s="1"/>
      <c r="H430" s="1"/>
      <c r="I430" s="1"/>
      <c r="J430" s="1"/>
      <c r="K430" s="1"/>
      <c r="L430" s="1"/>
      <c r="M430" s="1"/>
      <c r="N430" s="169"/>
      <c r="O430" s="169"/>
      <c r="P430" s="169"/>
      <c r="Q430" s="169"/>
      <c r="R430" s="160"/>
      <c r="S430" s="161"/>
      <c r="T430" s="161"/>
      <c r="U430" s="161"/>
      <c r="V430" s="161"/>
    </row>
    <row r="431" spans="5:22" hidden="1" x14ac:dyDescent="0.25">
      <c r="E431" s="1"/>
      <c r="F431" s="1"/>
      <c r="G431" s="1"/>
      <c r="H431" s="1"/>
      <c r="I431" s="1"/>
      <c r="J431" s="1"/>
      <c r="K431" s="1"/>
      <c r="L431" s="1"/>
      <c r="M431" s="1"/>
      <c r="N431" s="169"/>
      <c r="O431" s="187"/>
      <c r="P431" s="187"/>
      <c r="Q431" s="187"/>
    </row>
    <row r="432" spans="5:22" hidden="1" x14ac:dyDescent="0.25">
      <c r="E432" s="1"/>
      <c r="F432" s="1"/>
      <c r="G432" s="1"/>
      <c r="H432" s="1"/>
      <c r="I432" s="1"/>
      <c r="J432" s="1"/>
      <c r="K432" s="1"/>
      <c r="L432" s="1"/>
      <c r="M432" s="1"/>
      <c r="N432" s="169"/>
      <c r="O432" s="187"/>
      <c r="P432" s="187"/>
      <c r="Q432" s="187"/>
    </row>
    <row r="433" spans="5:17" hidden="1" x14ac:dyDescent="0.25">
      <c r="E433" s="1"/>
      <c r="F433" s="1"/>
      <c r="G433" s="1"/>
      <c r="H433" s="1"/>
      <c r="I433" s="1"/>
      <c r="J433" s="1"/>
      <c r="K433" s="1"/>
      <c r="L433" s="1"/>
      <c r="M433" s="1"/>
      <c r="N433" s="169"/>
      <c r="O433" s="187"/>
      <c r="P433" s="187"/>
      <c r="Q433" s="187"/>
    </row>
    <row r="434" spans="5:17" hidden="1" x14ac:dyDescent="0.25">
      <c r="E434" s="1"/>
      <c r="F434" s="1"/>
      <c r="G434" s="1"/>
      <c r="H434" s="1"/>
      <c r="I434" s="1"/>
      <c r="J434" s="1"/>
      <c r="K434" s="1"/>
      <c r="L434" s="1"/>
      <c r="M434" s="1"/>
      <c r="N434" s="169"/>
      <c r="O434" s="187"/>
      <c r="P434" s="187"/>
      <c r="Q434" s="187"/>
    </row>
    <row r="435" spans="5:17" hidden="1" x14ac:dyDescent="0.25">
      <c r="E435" s="1"/>
      <c r="F435" s="1"/>
      <c r="G435" s="1"/>
      <c r="H435" s="1"/>
      <c r="I435" s="1"/>
      <c r="J435" s="1"/>
      <c r="K435" s="1"/>
      <c r="L435" s="1"/>
      <c r="M435" s="1"/>
      <c r="N435" s="169"/>
      <c r="O435" s="187"/>
      <c r="P435" s="187"/>
      <c r="Q435" s="187"/>
    </row>
    <row r="436" spans="5:17" hidden="1" x14ac:dyDescent="0.25">
      <c r="E436" s="1"/>
      <c r="F436" s="1"/>
      <c r="G436" s="1"/>
      <c r="H436" s="1"/>
      <c r="I436" s="1"/>
      <c r="J436" s="1"/>
      <c r="K436" s="1"/>
      <c r="L436" s="1"/>
      <c r="M436" s="1"/>
      <c r="N436" s="169"/>
      <c r="O436" s="187"/>
      <c r="P436" s="187"/>
      <c r="Q436" s="187"/>
    </row>
    <row r="437" spans="5:17" hidden="1" x14ac:dyDescent="0.25">
      <c r="E437" s="1"/>
      <c r="F437" s="1"/>
      <c r="G437" s="1"/>
      <c r="H437" s="1"/>
      <c r="I437" s="1"/>
      <c r="J437" s="1"/>
      <c r="K437" s="1"/>
      <c r="L437" s="1"/>
      <c r="M437" s="1"/>
      <c r="N437" s="169"/>
      <c r="O437" s="187"/>
      <c r="P437" s="187"/>
      <c r="Q437" s="187"/>
    </row>
    <row r="438" spans="5:17" hidden="1" x14ac:dyDescent="0.25">
      <c r="E438" s="1"/>
      <c r="F438" s="1"/>
      <c r="G438" s="1"/>
      <c r="H438" s="1"/>
      <c r="I438" s="1"/>
      <c r="J438" s="1"/>
      <c r="K438" s="1"/>
      <c r="L438" s="1"/>
      <c r="M438" s="1"/>
      <c r="N438" s="169"/>
      <c r="O438" s="187"/>
      <c r="P438" s="187"/>
      <c r="Q438" s="187"/>
    </row>
    <row r="439" spans="5:17" hidden="1" x14ac:dyDescent="0.25">
      <c r="E439" s="1"/>
      <c r="F439" s="1"/>
      <c r="G439" s="1"/>
      <c r="H439" s="1"/>
      <c r="I439" s="1"/>
      <c r="J439" s="1"/>
      <c r="K439" s="1"/>
      <c r="L439" s="1"/>
      <c r="M439" s="1"/>
      <c r="N439" s="169"/>
      <c r="O439" s="187"/>
      <c r="P439" s="187"/>
      <c r="Q439" s="187"/>
    </row>
    <row r="440" spans="5:17" hidden="1" x14ac:dyDescent="0.25">
      <c r="E440" s="1"/>
      <c r="F440" s="1"/>
      <c r="G440" s="1"/>
      <c r="H440" s="1"/>
      <c r="I440" s="1"/>
      <c r="J440" s="1"/>
      <c r="K440" s="1"/>
      <c r="L440" s="1"/>
      <c r="M440" s="1"/>
      <c r="N440" s="169"/>
      <c r="O440" s="187"/>
      <c r="P440" s="187"/>
      <c r="Q440" s="187"/>
    </row>
    <row r="441" spans="5:17" hidden="1" x14ac:dyDescent="0.25">
      <c r="E441" s="1"/>
      <c r="F441" s="1"/>
      <c r="G441" s="1"/>
      <c r="H441" s="1"/>
      <c r="I441" s="1"/>
      <c r="J441" s="1"/>
      <c r="K441" s="1"/>
      <c r="L441" s="1"/>
      <c r="M441" s="1"/>
      <c r="N441" s="169"/>
      <c r="O441" s="187"/>
      <c r="P441" s="187"/>
      <c r="Q441" s="187"/>
    </row>
    <row r="442" spans="5:17" hidden="1" x14ac:dyDescent="0.25">
      <c r="E442" s="1"/>
      <c r="F442" s="1"/>
      <c r="G442" s="1"/>
      <c r="H442" s="1"/>
      <c r="I442" s="1"/>
      <c r="J442" s="1"/>
      <c r="K442" s="1"/>
      <c r="L442" s="1"/>
      <c r="M442" s="1"/>
      <c r="N442" s="169"/>
      <c r="O442" s="187"/>
      <c r="P442" s="187"/>
      <c r="Q442" s="187"/>
    </row>
    <row r="443" spans="5:17" hidden="1" x14ac:dyDescent="0.25">
      <c r="E443" s="1"/>
      <c r="F443" s="1"/>
      <c r="G443" s="1"/>
      <c r="H443" s="1"/>
      <c r="I443" s="1"/>
      <c r="J443" s="1"/>
      <c r="K443" s="1"/>
      <c r="L443" s="1"/>
      <c r="M443" s="1"/>
      <c r="N443" s="169"/>
      <c r="O443" s="187"/>
      <c r="P443" s="187"/>
      <c r="Q443" s="187"/>
    </row>
    <row r="444" spans="5:17" hidden="1" x14ac:dyDescent="0.25">
      <c r="E444" s="1"/>
      <c r="F444" s="1"/>
      <c r="G444" s="1"/>
      <c r="H444" s="1"/>
      <c r="I444" s="1"/>
      <c r="J444" s="1"/>
      <c r="K444" s="1"/>
      <c r="L444" s="1"/>
      <c r="M444" s="1"/>
      <c r="N444" s="169"/>
      <c r="O444" s="187"/>
      <c r="P444" s="187"/>
      <c r="Q444" s="187"/>
    </row>
    <row r="445" spans="5:17" hidden="1" x14ac:dyDescent="0.25">
      <c r="E445" s="1"/>
      <c r="F445" s="1"/>
      <c r="G445" s="1"/>
      <c r="H445" s="1"/>
      <c r="I445" s="1"/>
      <c r="J445" s="1"/>
      <c r="K445" s="1"/>
      <c r="L445" s="1"/>
      <c r="M445" s="1"/>
      <c r="N445" s="169"/>
      <c r="O445" s="187"/>
      <c r="P445" s="187"/>
      <c r="Q445" s="187"/>
    </row>
    <row r="446" spans="5:17" hidden="1" x14ac:dyDescent="0.25">
      <c r="E446" s="1"/>
      <c r="F446" s="1"/>
      <c r="G446" s="1"/>
      <c r="H446" s="1"/>
      <c r="I446" s="1"/>
      <c r="J446" s="1"/>
      <c r="K446" s="1"/>
      <c r="L446" s="1"/>
      <c r="M446" s="1"/>
      <c r="N446" s="169"/>
      <c r="O446" s="187"/>
      <c r="P446" s="187"/>
      <c r="Q446" s="187"/>
    </row>
    <row r="447" spans="5:17" hidden="1" x14ac:dyDescent="0.25">
      <c r="E447" s="1"/>
      <c r="F447" s="1"/>
      <c r="G447" s="1"/>
      <c r="H447" s="1"/>
      <c r="I447" s="1"/>
      <c r="J447" s="1"/>
      <c r="K447" s="1"/>
      <c r="L447" s="1"/>
      <c r="M447" s="1"/>
      <c r="N447" s="169"/>
      <c r="O447" s="187"/>
      <c r="P447" s="187"/>
      <c r="Q447" s="187"/>
    </row>
    <row r="448" spans="5:17" hidden="1" x14ac:dyDescent="0.25">
      <c r="E448" s="1"/>
      <c r="F448" s="1"/>
      <c r="G448" s="1"/>
      <c r="H448" s="1"/>
      <c r="I448" s="1"/>
      <c r="J448" s="1"/>
      <c r="K448" s="1"/>
      <c r="L448" s="1"/>
      <c r="M448" s="1"/>
      <c r="N448" s="169"/>
      <c r="O448" s="187"/>
      <c r="P448" s="187"/>
      <c r="Q448" s="187"/>
    </row>
    <row r="449" spans="5:17" hidden="1" x14ac:dyDescent="0.25">
      <c r="E449" s="1"/>
      <c r="F449" s="1"/>
      <c r="G449" s="1"/>
      <c r="H449" s="1"/>
      <c r="I449" s="1"/>
      <c r="J449" s="1"/>
      <c r="K449" s="1"/>
      <c r="L449" s="1"/>
      <c r="M449" s="1"/>
      <c r="N449" s="169"/>
      <c r="O449" s="187"/>
      <c r="P449" s="187"/>
      <c r="Q449" s="187"/>
    </row>
    <row r="450" spans="5:17" hidden="1" x14ac:dyDescent="0.25">
      <c r="E450" s="1"/>
      <c r="F450" s="1"/>
      <c r="G450" s="1"/>
      <c r="H450" s="1"/>
      <c r="I450" s="1"/>
      <c r="J450" s="1"/>
      <c r="K450" s="1"/>
      <c r="L450" s="1"/>
      <c r="M450" s="1"/>
      <c r="N450" s="169"/>
      <c r="O450" s="187"/>
      <c r="P450" s="187"/>
      <c r="Q450" s="187"/>
    </row>
    <row r="451" spans="5:17" hidden="1" x14ac:dyDescent="0.25">
      <c r="E451" s="1"/>
      <c r="F451" s="1"/>
      <c r="G451" s="1"/>
      <c r="H451" s="1"/>
      <c r="I451" s="1"/>
      <c r="J451" s="1"/>
      <c r="K451" s="1"/>
      <c r="L451" s="1"/>
      <c r="M451" s="1"/>
      <c r="N451" s="169"/>
      <c r="O451" s="187"/>
      <c r="P451" s="187"/>
      <c r="Q451" s="187"/>
    </row>
    <row r="452" spans="5:17" hidden="1" x14ac:dyDescent="0.25">
      <c r="E452" s="1"/>
      <c r="F452" s="1"/>
      <c r="G452" s="1"/>
      <c r="H452" s="1"/>
      <c r="I452" s="1"/>
      <c r="J452" s="1"/>
      <c r="K452" s="1"/>
      <c r="L452" s="1"/>
      <c r="M452" s="1"/>
      <c r="N452" s="169"/>
      <c r="O452" s="187"/>
      <c r="P452" s="187"/>
      <c r="Q452" s="187"/>
    </row>
    <row r="453" spans="5:17" hidden="1" x14ac:dyDescent="0.25">
      <c r="E453" s="1"/>
      <c r="F453" s="1"/>
      <c r="G453" s="1"/>
      <c r="H453" s="1"/>
      <c r="I453" s="1"/>
      <c r="J453" s="1"/>
      <c r="K453" s="1"/>
      <c r="L453" s="1"/>
      <c r="M453" s="1"/>
      <c r="N453" s="169"/>
      <c r="O453" s="187"/>
      <c r="P453" s="187"/>
      <c r="Q453" s="187"/>
    </row>
    <row r="454" spans="5:17" hidden="1" x14ac:dyDescent="0.25">
      <c r="E454" s="1"/>
      <c r="F454" s="1"/>
      <c r="G454" s="1"/>
      <c r="H454" s="1"/>
      <c r="I454" s="1"/>
      <c r="J454" s="1"/>
      <c r="K454" s="1"/>
      <c r="L454" s="1"/>
      <c r="M454" s="1"/>
      <c r="N454" s="169"/>
      <c r="O454" s="187"/>
      <c r="P454" s="187"/>
      <c r="Q454" s="187"/>
    </row>
    <row r="455" spans="5:17" hidden="1" x14ac:dyDescent="0.25">
      <c r="E455" s="1"/>
      <c r="F455" s="1"/>
      <c r="G455" s="1"/>
      <c r="H455" s="1"/>
      <c r="I455" s="1"/>
      <c r="J455" s="1"/>
      <c r="K455" s="1"/>
      <c r="L455" s="1"/>
      <c r="M455" s="1"/>
      <c r="N455" s="169"/>
      <c r="O455" s="187"/>
      <c r="P455" s="187"/>
      <c r="Q455" s="187"/>
    </row>
    <row r="456" spans="5:17" hidden="1" x14ac:dyDescent="0.25">
      <c r="E456" s="1"/>
      <c r="F456" s="1"/>
      <c r="G456" s="1"/>
      <c r="H456" s="1"/>
      <c r="I456" s="1"/>
      <c r="J456" s="1"/>
      <c r="K456" s="1"/>
      <c r="L456" s="1"/>
      <c r="M456" s="1"/>
      <c r="N456" s="169"/>
      <c r="O456" s="187"/>
      <c r="P456" s="187"/>
      <c r="Q456" s="187"/>
    </row>
    <row r="457" spans="5:17" hidden="1" x14ac:dyDescent="0.25">
      <c r="E457" s="1"/>
      <c r="F457" s="1"/>
      <c r="G457" s="1"/>
      <c r="H457" s="1"/>
      <c r="I457" s="1"/>
      <c r="J457" s="1"/>
      <c r="K457" s="1"/>
      <c r="L457" s="1"/>
      <c r="M457" s="1"/>
      <c r="N457" s="169"/>
      <c r="O457" s="187"/>
      <c r="P457" s="187"/>
      <c r="Q457" s="187"/>
    </row>
    <row r="458" spans="5:17" hidden="1" x14ac:dyDescent="0.25">
      <c r="E458" s="1"/>
      <c r="F458" s="1"/>
      <c r="G458" s="1"/>
      <c r="H458" s="1"/>
      <c r="I458" s="1"/>
      <c r="J458" s="1"/>
      <c r="K458" s="1"/>
      <c r="L458" s="1"/>
      <c r="M458" s="1"/>
      <c r="N458" s="169"/>
      <c r="O458" s="187"/>
      <c r="P458" s="187"/>
      <c r="Q458" s="187"/>
    </row>
    <row r="459" spans="5:17" hidden="1" x14ac:dyDescent="0.25">
      <c r="E459" s="1"/>
      <c r="F459" s="1"/>
      <c r="G459" s="1"/>
      <c r="H459" s="1"/>
      <c r="I459" s="1"/>
      <c r="J459" s="1"/>
      <c r="K459" s="1"/>
      <c r="L459" s="1"/>
      <c r="M459" s="1"/>
      <c r="N459" s="169"/>
      <c r="O459" s="187"/>
      <c r="P459" s="187"/>
      <c r="Q459" s="187"/>
    </row>
    <row r="460" spans="5:17" hidden="1" x14ac:dyDescent="0.25">
      <c r="E460" s="1"/>
      <c r="F460" s="1"/>
      <c r="G460" s="1"/>
      <c r="H460" s="1"/>
      <c r="I460" s="1"/>
      <c r="J460" s="1"/>
      <c r="K460" s="1"/>
      <c r="L460" s="1"/>
      <c r="M460" s="1"/>
      <c r="N460" s="169"/>
      <c r="O460" s="187"/>
      <c r="P460" s="187"/>
      <c r="Q460" s="187"/>
    </row>
    <row r="461" spans="5:17" hidden="1" x14ac:dyDescent="0.25">
      <c r="E461" s="1"/>
      <c r="F461" s="1"/>
      <c r="G461" s="1"/>
      <c r="H461" s="1"/>
      <c r="I461" s="1"/>
      <c r="J461" s="1"/>
      <c r="K461" s="1"/>
      <c r="L461" s="1"/>
      <c r="M461" s="1"/>
      <c r="N461" s="169"/>
      <c r="O461" s="187"/>
      <c r="P461" s="187"/>
      <c r="Q461" s="187"/>
    </row>
    <row r="462" spans="5:17" hidden="1" x14ac:dyDescent="0.25">
      <c r="E462" s="1"/>
      <c r="F462" s="1"/>
      <c r="G462" s="1"/>
      <c r="H462" s="1"/>
      <c r="I462" s="1"/>
      <c r="J462" s="1"/>
      <c r="K462" s="1"/>
      <c r="L462" s="1"/>
      <c r="M462" s="1"/>
      <c r="N462" s="169"/>
      <c r="O462" s="187"/>
      <c r="P462" s="187"/>
      <c r="Q462" s="187"/>
    </row>
    <row r="463" spans="5:17" hidden="1" x14ac:dyDescent="0.25">
      <c r="E463" s="1"/>
      <c r="F463" s="1"/>
      <c r="G463" s="1"/>
      <c r="H463" s="1"/>
      <c r="I463" s="1"/>
      <c r="J463" s="1"/>
      <c r="K463" s="1"/>
      <c r="L463" s="1"/>
      <c r="M463" s="1"/>
      <c r="N463" s="169"/>
      <c r="O463" s="187"/>
      <c r="P463" s="187"/>
      <c r="Q463" s="187"/>
    </row>
    <row r="464" spans="5:17" hidden="1" x14ac:dyDescent="0.25">
      <c r="E464" s="1"/>
      <c r="F464" s="1"/>
      <c r="G464" s="1"/>
      <c r="H464" s="1"/>
      <c r="I464" s="1"/>
      <c r="J464" s="1"/>
      <c r="K464" s="1"/>
      <c r="L464" s="1"/>
      <c r="M464" s="1"/>
      <c r="N464" s="169"/>
      <c r="O464" s="187"/>
      <c r="P464" s="187"/>
      <c r="Q464" s="187"/>
    </row>
    <row r="465" spans="5:17" hidden="1" x14ac:dyDescent="0.25">
      <c r="E465" s="1"/>
      <c r="F465" s="1"/>
      <c r="G465" s="1"/>
      <c r="H465" s="1"/>
      <c r="I465" s="1"/>
      <c r="J465" s="1"/>
      <c r="K465" s="1"/>
      <c r="L465" s="1"/>
      <c r="M465" s="1"/>
      <c r="N465" s="169"/>
      <c r="O465" s="187"/>
      <c r="P465" s="187"/>
      <c r="Q465" s="187"/>
    </row>
    <row r="466" spans="5:17" hidden="1" x14ac:dyDescent="0.25">
      <c r="E466" s="1"/>
      <c r="F466" s="1"/>
      <c r="G466" s="1"/>
      <c r="H466" s="1"/>
      <c r="I466" s="1"/>
      <c r="J466" s="1"/>
      <c r="K466" s="1"/>
      <c r="L466" s="1"/>
      <c r="M466" s="1"/>
      <c r="N466" s="169"/>
      <c r="O466" s="187"/>
      <c r="P466" s="187"/>
      <c r="Q466" s="187"/>
    </row>
    <row r="467" spans="5:17" hidden="1" x14ac:dyDescent="0.25">
      <c r="E467" s="1"/>
      <c r="F467" s="1"/>
      <c r="G467" s="1"/>
      <c r="H467" s="1"/>
      <c r="I467" s="1"/>
      <c r="J467" s="1"/>
      <c r="K467" s="1"/>
      <c r="L467" s="1"/>
      <c r="M467" s="1"/>
      <c r="N467" s="169"/>
      <c r="O467" s="187"/>
      <c r="P467" s="187"/>
      <c r="Q467" s="187"/>
    </row>
    <row r="468" spans="5:17" hidden="1" x14ac:dyDescent="0.25">
      <c r="E468" s="1"/>
      <c r="F468" s="1"/>
      <c r="G468" s="1"/>
      <c r="H468" s="1"/>
      <c r="I468" s="1"/>
      <c r="J468" s="1"/>
      <c r="K468" s="1"/>
      <c r="L468" s="1"/>
      <c r="M468" s="1"/>
      <c r="N468" s="169"/>
      <c r="O468" s="187"/>
      <c r="P468" s="187"/>
      <c r="Q468" s="187"/>
    </row>
    <row r="469" spans="5:17" hidden="1" x14ac:dyDescent="0.25">
      <c r="E469" s="1"/>
      <c r="F469" s="1"/>
      <c r="G469" s="1"/>
      <c r="H469" s="1"/>
      <c r="I469" s="1"/>
      <c r="J469" s="1"/>
      <c r="K469" s="1"/>
      <c r="L469" s="1"/>
      <c r="M469" s="1"/>
      <c r="N469" s="169"/>
      <c r="O469" s="187"/>
      <c r="P469" s="187"/>
      <c r="Q469" s="187"/>
    </row>
    <row r="470" spans="5:17" hidden="1" x14ac:dyDescent="0.25">
      <c r="E470" s="1"/>
      <c r="F470" s="1"/>
      <c r="G470" s="1"/>
      <c r="H470" s="1"/>
      <c r="I470" s="1"/>
      <c r="J470" s="1"/>
      <c r="K470" s="1"/>
      <c r="L470" s="1"/>
      <c r="M470" s="1"/>
      <c r="N470" s="169"/>
      <c r="O470" s="187"/>
      <c r="P470" s="187"/>
      <c r="Q470" s="187"/>
    </row>
    <row r="471" spans="5:17" hidden="1" x14ac:dyDescent="0.25">
      <c r="E471" s="1"/>
      <c r="F471" s="1"/>
      <c r="G471" s="1"/>
      <c r="H471" s="1"/>
      <c r="I471" s="1"/>
      <c r="J471" s="1"/>
      <c r="K471" s="1"/>
      <c r="L471" s="1"/>
      <c r="M471" s="1"/>
      <c r="N471" s="169"/>
      <c r="O471" s="187"/>
      <c r="P471" s="187"/>
      <c r="Q471" s="187"/>
    </row>
    <row r="472" spans="5:17" hidden="1" x14ac:dyDescent="0.25">
      <c r="E472" s="1"/>
      <c r="F472" s="1"/>
      <c r="G472" s="1"/>
      <c r="H472" s="1"/>
      <c r="I472" s="1"/>
      <c r="J472" s="1"/>
      <c r="K472" s="1"/>
      <c r="L472" s="1"/>
      <c r="M472" s="1"/>
      <c r="N472" s="169"/>
      <c r="O472" s="187"/>
      <c r="P472" s="187"/>
      <c r="Q472" s="187"/>
    </row>
    <row r="473" spans="5:17" hidden="1" x14ac:dyDescent="0.25">
      <c r="E473" s="1"/>
      <c r="F473" s="1"/>
      <c r="G473" s="1"/>
      <c r="H473" s="1"/>
      <c r="I473" s="1"/>
      <c r="J473" s="1"/>
      <c r="K473" s="1"/>
      <c r="L473" s="1"/>
      <c r="M473" s="1"/>
      <c r="N473" s="169"/>
      <c r="O473" s="187"/>
      <c r="P473" s="187"/>
      <c r="Q473" s="187"/>
    </row>
    <row r="474" spans="5:17" hidden="1" x14ac:dyDescent="0.25">
      <c r="E474" s="1"/>
      <c r="F474" s="1"/>
      <c r="G474" s="1"/>
      <c r="H474" s="1"/>
      <c r="I474" s="1"/>
      <c r="J474" s="1"/>
      <c r="K474" s="1"/>
      <c r="L474" s="1"/>
      <c r="M474" s="1"/>
      <c r="N474" s="169"/>
      <c r="O474" s="187"/>
      <c r="P474" s="187"/>
      <c r="Q474" s="187"/>
    </row>
    <row r="475" spans="5:17" hidden="1" x14ac:dyDescent="0.25">
      <c r="E475" s="1"/>
      <c r="F475" s="1"/>
      <c r="G475" s="1"/>
      <c r="H475" s="1"/>
      <c r="I475" s="1"/>
      <c r="J475" s="1"/>
      <c r="K475" s="1"/>
      <c r="L475" s="1"/>
      <c r="M475" s="1"/>
      <c r="N475" s="169"/>
      <c r="O475" s="187"/>
      <c r="P475" s="187"/>
      <c r="Q475" s="187"/>
    </row>
    <row r="476" spans="5:17" hidden="1" x14ac:dyDescent="0.25">
      <c r="E476" s="1"/>
      <c r="F476" s="1"/>
      <c r="G476" s="1"/>
      <c r="H476" s="1"/>
      <c r="I476" s="1"/>
      <c r="J476" s="1"/>
      <c r="K476" s="1"/>
      <c r="L476" s="1"/>
      <c r="M476" s="1"/>
      <c r="N476" s="169"/>
      <c r="O476" s="187"/>
      <c r="P476" s="187"/>
      <c r="Q476" s="187"/>
    </row>
    <row r="477" spans="5:17" hidden="1" x14ac:dyDescent="0.25">
      <c r="E477" s="1"/>
      <c r="F477" s="1"/>
      <c r="G477" s="1"/>
      <c r="H477" s="1"/>
      <c r="I477" s="1"/>
      <c r="J477" s="1"/>
      <c r="K477" s="1"/>
      <c r="L477" s="1"/>
      <c r="M477" s="1"/>
      <c r="N477" s="169"/>
      <c r="O477" s="187"/>
      <c r="P477" s="187"/>
      <c r="Q477" s="187"/>
    </row>
    <row r="478" spans="5:17" hidden="1" x14ac:dyDescent="0.25">
      <c r="E478" s="1"/>
      <c r="F478" s="1"/>
      <c r="G478" s="1"/>
      <c r="H478" s="1"/>
      <c r="I478" s="1"/>
      <c r="J478" s="1"/>
      <c r="K478" s="1"/>
      <c r="L478" s="1"/>
      <c r="M478" s="1"/>
      <c r="N478" s="169"/>
      <c r="O478" s="187"/>
      <c r="P478" s="187"/>
      <c r="Q478" s="187"/>
    </row>
    <row r="479" spans="5:17" hidden="1" x14ac:dyDescent="0.25">
      <c r="E479" s="1"/>
      <c r="F479" s="1"/>
      <c r="G479" s="1"/>
      <c r="H479" s="1"/>
      <c r="I479" s="1"/>
      <c r="J479" s="1"/>
      <c r="K479" s="1"/>
      <c r="L479" s="1"/>
      <c r="M479" s="1"/>
      <c r="N479" s="169"/>
      <c r="O479" s="187"/>
      <c r="P479" s="187"/>
      <c r="Q479" s="187"/>
    </row>
    <row r="480" spans="5:17" hidden="1" x14ac:dyDescent="0.25">
      <c r="E480" s="1"/>
      <c r="F480" s="1"/>
      <c r="G480" s="1"/>
      <c r="H480" s="1"/>
      <c r="I480" s="1"/>
      <c r="J480" s="1"/>
      <c r="K480" s="1"/>
      <c r="L480" s="1"/>
      <c r="M480" s="1"/>
      <c r="N480" s="169"/>
      <c r="O480" s="187"/>
      <c r="P480" s="187"/>
      <c r="Q480" s="187"/>
    </row>
    <row r="481" spans="5:17" hidden="1" x14ac:dyDescent="0.25">
      <c r="E481" s="1"/>
      <c r="F481" s="1"/>
      <c r="G481" s="1"/>
      <c r="H481" s="1"/>
      <c r="I481" s="1"/>
      <c r="J481" s="1"/>
      <c r="K481" s="1"/>
      <c r="L481" s="1"/>
      <c r="M481" s="1"/>
      <c r="N481" s="169"/>
      <c r="O481" s="187"/>
      <c r="P481" s="187"/>
      <c r="Q481" s="187"/>
    </row>
    <row r="482" spans="5:17" hidden="1" x14ac:dyDescent="0.25">
      <c r="E482" s="1"/>
      <c r="F482" s="1"/>
      <c r="G482" s="1"/>
      <c r="H482" s="1"/>
      <c r="I482" s="1"/>
      <c r="J482" s="1"/>
      <c r="K482" s="1"/>
      <c r="L482" s="1"/>
      <c r="M482" s="1"/>
      <c r="N482" s="169"/>
      <c r="O482" s="187"/>
      <c r="P482" s="187"/>
      <c r="Q482" s="187"/>
    </row>
    <row r="483" spans="5:17" hidden="1" x14ac:dyDescent="0.25">
      <c r="E483" s="1"/>
      <c r="F483" s="1"/>
      <c r="G483" s="1"/>
      <c r="H483" s="1"/>
      <c r="I483" s="1"/>
      <c r="J483" s="1"/>
      <c r="K483" s="1"/>
      <c r="L483" s="1"/>
      <c r="M483" s="1"/>
      <c r="N483" s="169"/>
      <c r="O483" s="187"/>
      <c r="P483" s="187"/>
      <c r="Q483" s="187"/>
    </row>
    <row r="484" spans="5:17" hidden="1" x14ac:dyDescent="0.25">
      <c r="E484" s="1"/>
      <c r="F484" s="1"/>
      <c r="G484" s="1"/>
      <c r="H484" s="1"/>
      <c r="I484" s="1"/>
      <c r="J484" s="1"/>
      <c r="K484" s="1"/>
      <c r="L484" s="1"/>
      <c r="M484" s="1"/>
      <c r="N484" s="169"/>
      <c r="O484" s="187"/>
      <c r="P484" s="187"/>
      <c r="Q484" s="187"/>
    </row>
    <row r="485" spans="5:17" hidden="1" x14ac:dyDescent="0.25">
      <c r="E485" s="1"/>
      <c r="F485" s="1"/>
      <c r="G485" s="1"/>
      <c r="H485" s="1"/>
      <c r="I485" s="1"/>
      <c r="J485" s="1"/>
      <c r="K485" s="1"/>
      <c r="L485" s="1"/>
      <c r="M485" s="1"/>
      <c r="N485" s="169"/>
      <c r="O485" s="187"/>
      <c r="P485" s="187"/>
      <c r="Q485" s="187"/>
    </row>
    <row r="486" spans="5:17" hidden="1" x14ac:dyDescent="0.25">
      <c r="E486" s="1"/>
      <c r="F486" s="1"/>
      <c r="G486" s="1"/>
      <c r="H486" s="1"/>
      <c r="I486" s="1"/>
      <c r="J486" s="1"/>
      <c r="K486" s="1"/>
      <c r="L486" s="1"/>
      <c r="M486" s="1"/>
      <c r="N486" s="169"/>
      <c r="O486" s="187"/>
      <c r="P486" s="187"/>
      <c r="Q486" s="187"/>
    </row>
    <row r="487" spans="5:17" hidden="1" x14ac:dyDescent="0.25">
      <c r="E487" s="1"/>
      <c r="F487" s="1"/>
      <c r="G487" s="1"/>
      <c r="H487" s="1"/>
      <c r="I487" s="1"/>
      <c r="J487" s="1"/>
      <c r="K487" s="1"/>
      <c r="L487" s="1"/>
      <c r="M487" s="1"/>
      <c r="N487" s="169"/>
      <c r="O487" s="187"/>
      <c r="P487" s="187"/>
      <c r="Q487" s="187"/>
    </row>
    <row r="488" spans="5:17" hidden="1" x14ac:dyDescent="0.25">
      <c r="E488" s="1"/>
      <c r="F488" s="1"/>
      <c r="G488" s="1"/>
      <c r="H488" s="1"/>
      <c r="I488" s="1"/>
      <c r="J488" s="1"/>
      <c r="K488" s="1"/>
      <c r="L488" s="1"/>
      <c r="M488" s="1"/>
      <c r="N488" s="169"/>
      <c r="O488" s="187"/>
      <c r="P488" s="187"/>
      <c r="Q488" s="187"/>
    </row>
    <row r="489" spans="5:17" hidden="1" x14ac:dyDescent="0.25">
      <c r="E489" s="1"/>
      <c r="F489" s="1"/>
      <c r="G489" s="1"/>
      <c r="H489" s="1"/>
      <c r="I489" s="1"/>
      <c r="J489" s="1"/>
      <c r="K489" s="1"/>
      <c r="L489" s="1"/>
      <c r="M489" s="1"/>
      <c r="N489" s="169"/>
      <c r="O489" s="187"/>
      <c r="P489" s="187"/>
      <c r="Q489" s="187"/>
    </row>
    <row r="490" spans="5:17" hidden="1" x14ac:dyDescent="0.25">
      <c r="E490" s="1"/>
      <c r="F490" s="1"/>
      <c r="G490" s="1"/>
      <c r="H490" s="1"/>
      <c r="I490" s="1"/>
      <c r="J490" s="1"/>
      <c r="K490" s="1"/>
      <c r="L490" s="1"/>
      <c r="M490" s="1"/>
      <c r="N490" s="169"/>
      <c r="O490" s="187"/>
      <c r="P490" s="187"/>
      <c r="Q490" s="187"/>
    </row>
    <row r="491" spans="5:17" hidden="1" x14ac:dyDescent="0.25">
      <c r="E491" s="1"/>
      <c r="F491" s="1"/>
      <c r="G491" s="1"/>
      <c r="H491" s="1"/>
      <c r="I491" s="1"/>
      <c r="J491" s="1"/>
      <c r="K491" s="1"/>
      <c r="L491" s="1"/>
      <c r="M491" s="1"/>
      <c r="N491" s="169"/>
      <c r="O491" s="187"/>
      <c r="P491" s="187"/>
      <c r="Q491" s="187"/>
    </row>
    <row r="492" spans="5:17" hidden="1" x14ac:dyDescent="0.25">
      <c r="E492" s="1"/>
      <c r="F492" s="1"/>
      <c r="G492" s="1"/>
      <c r="H492" s="1"/>
      <c r="I492" s="1"/>
      <c r="J492" s="1"/>
      <c r="K492" s="1"/>
      <c r="L492" s="1"/>
      <c r="M492" s="1"/>
      <c r="N492" s="169"/>
      <c r="O492" s="187"/>
      <c r="P492" s="187"/>
      <c r="Q492" s="187"/>
    </row>
    <row r="493" spans="5:17" hidden="1" x14ac:dyDescent="0.25">
      <c r="E493" s="1"/>
      <c r="F493" s="1"/>
      <c r="G493" s="1"/>
      <c r="H493" s="1"/>
      <c r="I493" s="1"/>
      <c r="J493" s="1"/>
      <c r="K493" s="1"/>
      <c r="L493" s="1"/>
      <c r="M493" s="1"/>
      <c r="N493" s="169"/>
      <c r="O493" s="187"/>
      <c r="P493" s="187"/>
      <c r="Q493" s="187"/>
    </row>
    <row r="494" spans="5:17" hidden="1" x14ac:dyDescent="0.25">
      <c r="E494" s="1"/>
      <c r="F494" s="1"/>
      <c r="G494" s="1"/>
      <c r="H494" s="1"/>
      <c r="I494" s="1"/>
      <c r="J494" s="1"/>
      <c r="K494" s="1"/>
      <c r="L494" s="1"/>
      <c r="M494" s="1"/>
      <c r="N494" s="169"/>
      <c r="O494" s="187"/>
      <c r="P494" s="187"/>
      <c r="Q494" s="187"/>
    </row>
    <row r="495" spans="5:17" hidden="1" x14ac:dyDescent="0.25">
      <c r="E495" s="1"/>
      <c r="F495" s="1"/>
      <c r="G495" s="1"/>
      <c r="H495" s="1"/>
      <c r="I495" s="1"/>
      <c r="J495" s="1"/>
      <c r="K495" s="1"/>
      <c r="L495" s="1"/>
      <c r="M495" s="1"/>
      <c r="N495" s="169"/>
      <c r="O495" s="187"/>
      <c r="P495" s="187"/>
      <c r="Q495" s="187"/>
    </row>
    <row r="496" spans="5:17" hidden="1" x14ac:dyDescent="0.25">
      <c r="E496" s="1"/>
      <c r="F496" s="1"/>
      <c r="G496" s="1"/>
      <c r="H496" s="1"/>
      <c r="I496" s="1"/>
      <c r="J496" s="1"/>
      <c r="K496" s="1"/>
      <c r="L496" s="1"/>
      <c r="M496" s="1"/>
      <c r="N496" s="169"/>
      <c r="O496" s="187"/>
      <c r="P496" s="187"/>
      <c r="Q496" s="187"/>
    </row>
    <row r="497" spans="5:17" hidden="1" x14ac:dyDescent="0.25">
      <c r="E497" s="1"/>
      <c r="F497" s="1"/>
      <c r="G497" s="1"/>
      <c r="H497" s="1"/>
      <c r="I497" s="1"/>
      <c r="J497" s="1"/>
      <c r="K497" s="1"/>
      <c r="L497" s="1"/>
      <c r="M497" s="1"/>
      <c r="N497" s="169"/>
      <c r="O497" s="187"/>
      <c r="P497" s="187"/>
      <c r="Q497" s="187"/>
    </row>
    <row r="498" spans="5:17" hidden="1" x14ac:dyDescent="0.25">
      <c r="E498" s="1"/>
      <c r="F498" s="1"/>
      <c r="G498" s="1"/>
      <c r="H498" s="1"/>
      <c r="I498" s="1"/>
      <c r="J498" s="1"/>
      <c r="K498" s="1"/>
      <c r="L498" s="1"/>
      <c r="M498" s="1"/>
      <c r="N498" s="169"/>
      <c r="O498" s="187"/>
      <c r="P498" s="187"/>
      <c r="Q498" s="187"/>
    </row>
    <row r="499" spans="5:17" hidden="1" x14ac:dyDescent="0.25">
      <c r="E499" s="1"/>
      <c r="F499" s="1"/>
      <c r="G499" s="1"/>
      <c r="H499" s="1"/>
      <c r="I499" s="1"/>
      <c r="J499" s="1"/>
      <c r="K499" s="1"/>
      <c r="L499" s="1"/>
      <c r="M499" s="1"/>
      <c r="N499" s="169"/>
      <c r="O499" s="187"/>
      <c r="P499" s="187"/>
      <c r="Q499" s="187"/>
    </row>
    <row r="500" spans="5:17" hidden="1" x14ac:dyDescent="0.25">
      <c r="E500" s="1"/>
      <c r="F500" s="1"/>
      <c r="G500" s="1"/>
      <c r="H500" s="1"/>
      <c r="I500" s="1"/>
      <c r="J500" s="1"/>
      <c r="K500" s="1"/>
      <c r="L500" s="1"/>
      <c r="M500" s="1"/>
      <c r="N500" s="169"/>
      <c r="O500" s="187"/>
      <c r="P500" s="187"/>
      <c r="Q500" s="187"/>
    </row>
    <row r="501" spans="5:17" hidden="1" x14ac:dyDescent="0.25">
      <c r="E501" s="1"/>
      <c r="F501" s="1"/>
      <c r="G501" s="1"/>
      <c r="H501" s="1"/>
      <c r="I501" s="1"/>
      <c r="J501" s="1"/>
      <c r="K501" s="1"/>
      <c r="L501" s="1"/>
      <c r="M501" s="1"/>
      <c r="N501" s="169"/>
      <c r="O501" s="187"/>
      <c r="P501" s="187"/>
      <c r="Q501" s="187"/>
    </row>
    <row r="502" spans="5:17" hidden="1" x14ac:dyDescent="0.25">
      <c r="E502" s="1"/>
      <c r="F502" s="1"/>
      <c r="G502" s="1"/>
      <c r="H502" s="1"/>
      <c r="I502" s="1"/>
      <c r="J502" s="1"/>
      <c r="K502" s="1"/>
      <c r="L502" s="1"/>
      <c r="M502" s="1"/>
      <c r="N502" s="169"/>
      <c r="O502" s="187"/>
      <c r="P502" s="187"/>
      <c r="Q502" s="187"/>
    </row>
    <row r="503" spans="5:17" hidden="1" x14ac:dyDescent="0.25">
      <c r="E503" s="1"/>
      <c r="F503" s="1"/>
      <c r="G503" s="1"/>
      <c r="H503" s="1"/>
      <c r="I503" s="1"/>
      <c r="J503" s="1"/>
      <c r="K503" s="1"/>
      <c r="L503" s="1"/>
      <c r="M503" s="1"/>
      <c r="N503" s="169"/>
      <c r="O503" s="187"/>
      <c r="P503" s="187"/>
      <c r="Q503" s="187"/>
    </row>
    <row r="504" spans="5:17" hidden="1" x14ac:dyDescent="0.25">
      <c r="E504" s="1"/>
      <c r="F504" s="1"/>
      <c r="G504" s="1"/>
      <c r="H504" s="1"/>
      <c r="I504" s="1"/>
      <c r="J504" s="1"/>
      <c r="K504" s="1"/>
      <c r="L504" s="1"/>
      <c r="M504" s="1"/>
      <c r="N504" s="169"/>
      <c r="O504" s="187"/>
      <c r="P504" s="187"/>
      <c r="Q504" s="187"/>
    </row>
    <row r="505" spans="5:17" hidden="1" x14ac:dyDescent="0.25">
      <c r="E505" s="1"/>
      <c r="F505" s="1"/>
      <c r="G505" s="1"/>
      <c r="H505" s="1"/>
      <c r="I505" s="1"/>
      <c r="J505" s="1"/>
      <c r="K505" s="1"/>
      <c r="L505" s="1"/>
      <c r="M505" s="1"/>
      <c r="N505" s="169"/>
      <c r="O505" s="187"/>
      <c r="P505" s="187"/>
      <c r="Q505" s="187"/>
    </row>
    <row r="506" spans="5:17" hidden="1" x14ac:dyDescent="0.25">
      <c r="E506" s="1"/>
      <c r="F506" s="1"/>
      <c r="G506" s="1"/>
      <c r="H506" s="1"/>
      <c r="I506" s="1"/>
      <c r="J506" s="1"/>
      <c r="K506" s="1"/>
      <c r="L506" s="1"/>
      <c r="M506" s="1"/>
      <c r="N506" s="169"/>
      <c r="O506" s="187"/>
      <c r="P506" s="187"/>
      <c r="Q506" s="187"/>
    </row>
    <row r="507" spans="5:17" hidden="1" x14ac:dyDescent="0.25">
      <c r="E507" s="1"/>
      <c r="F507" s="1"/>
      <c r="G507" s="1"/>
      <c r="H507" s="1"/>
      <c r="I507" s="1"/>
      <c r="J507" s="1"/>
      <c r="K507" s="1"/>
      <c r="L507" s="1"/>
      <c r="M507" s="1"/>
      <c r="N507" s="169"/>
      <c r="O507" s="187"/>
      <c r="P507" s="187"/>
      <c r="Q507" s="187"/>
    </row>
    <row r="508" spans="5:17" hidden="1" x14ac:dyDescent="0.25">
      <c r="E508" s="1"/>
      <c r="F508" s="1"/>
      <c r="G508" s="1"/>
      <c r="H508" s="1"/>
      <c r="I508" s="1"/>
      <c r="J508" s="1"/>
      <c r="K508" s="1"/>
      <c r="L508" s="1"/>
      <c r="M508" s="1"/>
      <c r="N508" s="169"/>
      <c r="O508" s="187"/>
      <c r="P508" s="187"/>
      <c r="Q508" s="187"/>
    </row>
    <row r="509" spans="5:17" hidden="1" x14ac:dyDescent="0.25">
      <c r="E509" s="1"/>
      <c r="F509" s="1"/>
      <c r="G509" s="1"/>
      <c r="H509" s="1"/>
      <c r="I509" s="1"/>
      <c r="J509" s="1"/>
      <c r="K509" s="1"/>
      <c r="L509" s="1"/>
      <c r="M509" s="1"/>
      <c r="N509" s="169"/>
      <c r="O509" s="187"/>
      <c r="P509" s="187"/>
      <c r="Q509" s="187"/>
    </row>
    <row r="510" spans="5:17" hidden="1" x14ac:dyDescent="0.25">
      <c r="E510" s="1"/>
      <c r="F510" s="1"/>
      <c r="G510" s="1"/>
      <c r="H510" s="1"/>
      <c r="I510" s="1"/>
      <c r="J510" s="1"/>
      <c r="K510" s="1"/>
      <c r="L510" s="1"/>
      <c r="M510" s="1"/>
      <c r="N510" s="169"/>
      <c r="O510" s="187"/>
      <c r="P510" s="187"/>
      <c r="Q510" s="187"/>
    </row>
    <row r="511" spans="5:17" hidden="1" x14ac:dyDescent="0.25">
      <c r="E511" s="1"/>
      <c r="F511" s="1"/>
      <c r="G511" s="1"/>
      <c r="H511" s="1"/>
      <c r="I511" s="1"/>
      <c r="J511" s="1"/>
      <c r="K511" s="1"/>
      <c r="L511" s="1"/>
      <c r="M511" s="1"/>
      <c r="N511" s="169"/>
      <c r="O511" s="187"/>
      <c r="P511" s="187"/>
      <c r="Q511" s="187"/>
    </row>
    <row r="512" spans="5:17" hidden="1" x14ac:dyDescent="0.25">
      <c r="E512" s="1"/>
      <c r="F512" s="1"/>
      <c r="G512" s="1"/>
      <c r="H512" s="1"/>
      <c r="I512" s="1"/>
      <c r="J512" s="1"/>
      <c r="K512" s="1"/>
      <c r="L512" s="1"/>
      <c r="M512" s="1"/>
      <c r="N512" s="169"/>
      <c r="O512" s="187"/>
      <c r="P512" s="187"/>
      <c r="Q512" s="187"/>
    </row>
    <row r="513" spans="5:17" hidden="1" x14ac:dyDescent="0.25">
      <c r="E513" s="1"/>
      <c r="F513" s="1"/>
      <c r="G513" s="1"/>
      <c r="H513" s="1"/>
      <c r="I513" s="1"/>
      <c r="J513" s="1"/>
      <c r="K513" s="1"/>
      <c r="L513" s="1"/>
      <c r="M513" s="1"/>
      <c r="N513" s="169"/>
      <c r="O513" s="187"/>
      <c r="P513" s="187"/>
      <c r="Q513" s="187"/>
    </row>
    <row r="514" spans="5:17" hidden="1" x14ac:dyDescent="0.25">
      <c r="E514" s="1"/>
      <c r="F514" s="1"/>
      <c r="G514" s="1"/>
      <c r="H514" s="1"/>
      <c r="I514" s="1"/>
      <c r="J514" s="1"/>
      <c r="K514" s="1"/>
      <c r="L514" s="1"/>
      <c r="M514" s="1"/>
      <c r="N514" s="169"/>
      <c r="O514" s="187"/>
      <c r="P514" s="187"/>
      <c r="Q514" s="187"/>
    </row>
    <row r="515" spans="5:17" hidden="1" x14ac:dyDescent="0.25">
      <c r="E515" s="1"/>
      <c r="F515" s="1"/>
      <c r="G515" s="1"/>
      <c r="H515" s="1"/>
      <c r="I515" s="1"/>
      <c r="J515" s="1"/>
      <c r="K515" s="1"/>
      <c r="L515" s="1"/>
      <c r="M515" s="1"/>
      <c r="N515" s="169"/>
      <c r="O515" s="187"/>
      <c r="P515" s="187"/>
      <c r="Q515" s="187"/>
    </row>
    <row r="516" spans="5:17" hidden="1" x14ac:dyDescent="0.25">
      <c r="E516" s="1"/>
      <c r="F516" s="1"/>
      <c r="G516" s="1"/>
      <c r="H516" s="1"/>
      <c r="I516" s="1"/>
      <c r="J516" s="1"/>
      <c r="K516" s="1"/>
      <c r="L516" s="1"/>
      <c r="M516" s="1"/>
      <c r="N516" s="169"/>
      <c r="O516" s="187"/>
      <c r="P516" s="187"/>
      <c r="Q516" s="187"/>
    </row>
    <row r="517" spans="5:17" hidden="1" x14ac:dyDescent="0.25">
      <c r="E517" s="1"/>
      <c r="F517" s="1"/>
      <c r="G517" s="1"/>
      <c r="H517" s="1"/>
      <c r="I517" s="1"/>
      <c r="J517" s="1"/>
      <c r="K517" s="1"/>
      <c r="L517" s="1"/>
      <c r="M517" s="1"/>
      <c r="N517" s="169"/>
      <c r="O517" s="187"/>
      <c r="P517" s="187"/>
      <c r="Q517" s="187"/>
    </row>
    <row r="518" spans="5:17" hidden="1" x14ac:dyDescent="0.25">
      <c r="E518" s="1"/>
      <c r="F518" s="1"/>
      <c r="G518" s="1"/>
      <c r="H518" s="1"/>
      <c r="I518" s="1"/>
      <c r="J518" s="1"/>
      <c r="K518" s="1"/>
      <c r="L518" s="1"/>
      <c r="M518" s="1"/>
      <c r="N518" s="169"/>
      <c r="O518" s="187"/>
      <c r="P518" s="187"/>
      <c r="Q518" s="187"/>
    </row>
    <row r="519" spans="5:17" hidden="1" x14ac:dyDescent="0.25">
      <c r="E519" s="1"/>
      <c r="F519" s="1"/>
      <c r="G519" s="1"/>
      <c r="H519" s="1"/>
      <c r="I519" s="1"/>
      <c r="J519" s="1"/>
      <c r="K519" s="1"/>
      <c r="L519" s="1"/>
      <c r="M519" s="1"/>
      <c r="N519" s="169"/>
      <c r="O519" s="187"/>
      <c r="P519" s="187"/>
      <c r="Q519" s="187"/>
    </row>
    <row r="520" spans="5:17" hidden="1" x14ac:dyDescent="0.25">
      <c r="E520" s="1"/>
      <c r="F520" s="1"/>
      <c r="G520" s="1"/>
      <c r="H520" s="1"/>
      <c r="I520" s="1"/>
      <c r="J520" s="1"/>
      <c r="K520" s="1"/>
      <c r="L520" s="1"/>
      <c r="M520" s="1"/>
      <c r="N520" s="169"/>
      <c r="O520" s="187"/>
      <c r="P520" s="187"/>
      <c r="Q520" s="187"/>
    </row>
    <row r="521" spans="5:17" hidden="1" x14ac:dyDescent="0.25">
      <c r="E521" s="1"/>
      <c r="F521" s="1"/>
      <c r="G521" s="1"/>
      <c r="H521" s="1"/>
      <c r="I521" s="1"/>
      <c r="J521" s="1"/>
      <c r="K521" s="1"/>
      <c r="L521" s="1"/>
      <c r="M521" s="1"/>
      <c r="N521" s="169"/>
      <c r="O521" s="187"/>
      <c r="P521" s="187"/>
      <c r="Q521" s="187"/>
    </row>
    <row r="522" spans="5:17" hidden="1" x14ac:dyDescent="0.25">
      <c r="E522" s="1"/>
      <c r="F522" s="1"/>
      <c r="G522" s="1"/>
      <c r="H522" s="1"/>
      <c r="I522" s="1"/>
      <c r="J522" s="1"/>
      <c r="K522" s="1"/>
      <c r="L522" s="1"/>
      <c r="M522" s="1"/>
      <c r="N522" s="169"/>
      <c r="O522" s="187"/>
      <c r="P522" s="187"/>
      <c r="Q522" s="187"/>
    </row>
    <row r="523" spans="5:17" hidden="1" x14ac:dyDescent="0.25">
      <c r="E523" s="1"/>
      <c r="F523" s="1"/>
      <c r="G523" s="1"/>
      <c r="H523" s="1"/>
      <c r="I523" s="1"/>
      <c r="J523" s="1"/>
      <c r="K523" s="1"/>
      <c r="L523" s="1"/>
      <c r="M523" s="1"/>
      <c r="N523" s="169"/>
      <c r="O523" s="187"/>
      <c r="P523" s="187"/>
      <c r="Q523" s="187"/>
    </row>
    <row r="524" spans="5:17" hidden="1" x14ac:dyDescent="0.25">
      <c r="E524" s="1"/>
      <c r="F524" s="1"/>
      <c r="G524" s="1"/>
      <c r="H524" s="1"/>
      <c r="I524" s="1"/>
      <c r="J524" s="1"/>
      <c r="K524" s="1"/>
      <c r="L524" s="1"/>
      <c r="M524" s="1"/>
      <c r="N524" s="169"/>
      <c r="O524" s="187"/>
      <c r="P524" s="187"/>
      <c r="Q524" s="187"/>
    </row>
    <row r="525" spans="5:17" hidden="1" x14ac:dyDescent="0.25">
      <c r="E525" s="1"/>
      <c r="F525" s="1"/>
      <c r="G525" s="1"/>
      <c r="H525" s="1"/>
      <c r="I525" s="1"/>
      <c r="J525" s="1"/>
      <c r="K525" s="1"/>
      <c r="L525" s="1"/>
      <c r="M525" s="1"/>
      <c r="N525" s="169"/>
      <c r="O525" s="187"/>
      <c r="P525" s="187"/>
      <c r="Q525" s="187"/>
    </row>
    <row r="526" spans="5:17" hidden="1" x14ac:dyDescent="0.25">
      <c r="E526" s="1"/>
      <c r="F526" s="1"/>
      <c r="G526" s="1"/>
      <c r="H526" s="1"/>
      <c r="I526" s="1"/>
      <c r="J526" s="1"/>
      <c r="K526" s="1"/>
      <c r="L526" s="1"/>
      <c r="M526" s="1"/>
      <c r="N526" s="169"/>
      <c r="O526" s="187"/>
      <c r="P526" s="187"/>
      <c r="Q526" s="187"/>
    </row>
    <row r="527" spans="5:17" hidden="1" x14ac:dyDescent="0.25">
      <c r="E527" s="1"/>
      <c r="F527" s="1"/>
      <c r="G527" s="1"/>
      <c r="H527" s="1"/>
      <c r="I527" s="1"/>
      <c r="J527" s="1"/>
      <c r="K527" s="1"/>
      <c r="L527" s="1"/>
      <c r="M527" s="1"/>
      <c r="N527" s="169"/>
      <c r="O527" s="187"/>
      <c r="P527" s="187"/>
      <c r="Q527" s="187"/>
    </row>
    <row r="528" spans="5:17" hidden="1" x14ac:dyDescent="0.25">
      <c r="E528" s="1"/>
      <c r="F528" s="1"/>
      <c r="G528" s="1"/>
      <c r="H528" s="1"/>
      <c r="I528" s="1"/>
      <c r="J528" s="1"/>
      <c r="K528" s="1"/>
      <c r="L528" s="1"/>
      <c r="M528" s="1"/>
      <c r="N528" s="169"/>
      <c r="O528" s="187"/>
      <c r="P528" s="187"/>
      <c r="Q528" s="187"/>
    </row>
    <row r="529" spans="5:17" hidden="1" x14ac:dyDescent="0.25">
      <c r="E529" s="1"/>
      <c r="F529" s="1"/>
      <c r="G529" s="1"/>
      <c r="H529" s="1"/>
      <c r="I529" s="1"/>
      <c r="J529" s="1"/>
      <c r="K529" s="1"/>
      <c r="L529" s="1"/>
      <c r="M529" s="1"/>
      <c r="N529" s="169"/>
      <c r="O529" s="187"/>
      <c r="P529" s="187"/>
      <c r="Q529" s="187"/>
    </row>
    <row r="530" spans="5:17" hidden="1" x14ac:dyDescent="0.25">
      <c r="E530" s="1"/>
      <c r="F530" s="1"/>
      <c r="G530" s="1"/>
      <c r="H530" s="1"/>
      <c r="I530" s="1"/>
      <c r="J530" s="1"/>
      <c r="K530" s="1"/>
      <c r="L530" s="1"/>
      <c r="M530" s="1"/>
      <c r="N530" s="169"/>
      <c r="O530" s="187"/>
      <c r="P530" s="187"/>
      <c r="Q530" s="187"/>
    </row>
    <row r="531" spans="5:17" hidden="1" x14ac:dyDescent="0.25">
      <c r="E531" s="1"/>
      <c r="F531" s="1"/>
      <c r="G531" s="1"/>
      <c r="H531" s="1"/>
      <c r="I531" s="1"/>
      <c r="J531" s="1"/>
      <c r="K531" s="1"/>
      <c r="L531" s="1"/>
      <c r="M531" s="1"/>
      <c r="N531" s="169"/>
      <c r="O531" s="187"/>
      <c r="P531" s="187"/>
      <c r="Q531" s="187"/>
    </row>
    <row r="532" spans="5:17" hidden="1" x14ac:dyDescent="0.25">
      <c r="E532" s="1"/>
      <c r="F532" s="1"/>
      <c r="G532" s="1"/>
      <c r="H532" s="1"/>
      <c r="I532" s="1"/>
      <c r="J532" s="1"/>
      <c r="K532" s="1"/>
      <c r="L532" s="1"/>
      <c r="M532" s="1"/>
      <c r="N532" s="169"/>
      <c r="O532" s="187"/>
      <c r="P532" s="187"/>
      <c r="Q532" s="187"/>
    </row>
    <row r="533" spans="5:17" hidden="1" x14ac:dyDescent="0.25">
      <c r="E533" s="1"/>
      <c r="F533" s="1"/>
      <c r="G533" s="1"/>
      <c r="H533" s="1"/>
      <c r="I533" s="1"/>
      <c r="J533" s="1"/>
      <c r="K533" s="1"/>
      <c r="L533" s="1"/>
      <c r="M533" s="1"/>
      <c r="N533" s="169"/>
      <c r="O533" s="187"/>
      <c r="P533" s="187"/>
      <c r="Q533" s="187"/>
    </row>
    <row r="534" spans="5:17" hidden="1" x14ac:dyDescent="0.25">
      <c r="E534" s="1"/>
      <c r="F534" s="1"/>
      <c r="G534" s="1"/>
      <c r="H534" s="1"/>
      <c r="I534" s="1"/>
      <c r="J534" s="1"/>
      <c r="K534" s="1"/>
      <c r="L534" s="1"/>
      <c r="M534" s="1"/>
      <c r="N534" s="169"/>
      <c r="O534" s="187"/>
      <c r="P534" s="187"/>
      <c r="Q534" s="187"/>
    </row>
    <row r="535" spans="5:17" hidden="1" x14ac:dyDescent="0.25">
      <c r="E535" s="1"/>
      <c r="F535" s="1"/>
      <c r="G535" s="1"/>
      <c r="H535" s="1"/>
      <c r="I535" s="1"/>
      <c r="J535" s="1"/>
      <c r="K535" s="1"/>
      <c r="L535" s="1"/>
      <c r="M535" s="1"/>
      <c r="N535" s="169"/>
      <c r="O535" s="187"/>
      <c r="P535" s="187"/>
      <c r="Q535" s="187"/>
    </row>
    <row r="536" spans="5:17" hidden="1" x14ac:dyDescent="0.25">
      <c r="E536" s="1"/>
      <c r="F536" s="1"/>
      <c r="G536" s="1"/>
      <c r="H536" s="1"/>
      <c r="I536" s="1"/>
      <c r="J536" s="1"/>
      <c r="K536" s="1"/>
      <c r="L536" s="1"/>
      <c r="M536" s="1"/>
      <c r="N536" s="169"/>
      <c r="O536" s="187"/>
      <c r="P536" s="187"/>
      <c r="Q536" s="187"/>
    </row>
    <row r="537" spans="5:17" hidden="1" x14ac:dyDescent="0.25">
      <c r="E537" s="1"/>
      <c r="F537" s="1"/>
      <c r="G537" s="1"/>
      <c r="H537" s="1"/>
      <c r="I537" s="1"/>
      <c r="J537" s="1"/>
      <c r="K537" s="1"/>
      <c r="L537" s="1"/>
      <c r="M537" s="1"/>
      <c r="N537" s="169"/>
      <c r="O537" s="187"/>
      <c r="P537" s="187"/>
      <c r="Q537" s="187"/>
    </row>
    <row r="538" spans="5:17" hidden="1" x14ac:dyDescent="0.25">
      <c r="E538" s="1"/>
      <c r="F538" s="1"/>
      <c r="G538" s="1"/>
      <c r="H538" s="1"/>
      <c r="I538" s="1"/>
      <c r="J538" s="1"/>
      <c r="K538" s="1"/>
      <c r="L538" s="1"/>
      <c r="M538" s="1"/>
      <c r="N538" s="169"/>
      <c r="O538" s="187"/>
      <c r="P538" s="187"/>
      <c r="Q538" s="187"/>
    </row>
    <row r="539" spans="5:17" hidden="1" x14ac:dyDescent="0.25">
      <c r="E539" s="1"/>
      <c r="F539" s="1"/>
      <c r="G539" s="1"/>
      <c r="H539" s="1"/>
      <c r="I539" s="1"/>
      <c r="J539" s="1"/>
      <c r="K539" s="1"/>
      <c r="L539" s="1"/>
      <c r="M539" s="1"/>
      <c r="N539" s="169"/>
      <c r="O539" s="187"/>
      <c r="P539" s="187"/>
      <c r="Q539" s="187"/>
    </row>
    <row r="540" spans="5:17" hidden="1" x14ac:dyDescent="0.25">
      <c r="E540" s="1"/>
      <c r="F540" s="1"/>
      <c r="G540" s="1"/>
      <c r="H540" s="1"/>
      <c r="I540" s="1"/>
      <c r="J540" s="1"/>
      <c r="K540" s="1"/>
      <c r="L540" s="1"/>
      <c r="M540" s="1"/>
      <c r="N540" s="169"/>
      <c r="O540" s="187"/>
      <c r="P540" s="187"/>
      <c r="Q540" s="187"/>
    </row>
    <row r="541" spans="5:17" hidden="1" x14ac:dyDescent="0.25">
      <c r="E541" s="1"/>
      <c r="F541" s="1"/>
      <c r="G541" s="1"/>
      <c r="H541" s="1"/>
      <c r="I541" s="1"/>
      <c r="J541" s="1"/>
      <c r="K541" s="1"/>
      <c r="L541" s="1"/>
      <c r="M541" s="1"/>
      <c r="N541" s="169"/>
      <c r="O541" s="187"/>
      <c r="P541" s="187"/>
      <c r="Q541" s="187"/>
    </row>
    <row r="542" spans="5:17" hidden="1" x14ac:dyDescent="0.25">
      <c r="E542" s="1"/>
      <c r="F542" s="1"/>
      <c r="G542" s="1"/>
      <c r="H542" s="1"/>
      <c r="I542" s="1"/>
      <c r="J542" s="1"/>
      <c r="K542" s="1"/>
      <c r="L542" s="1"/>
      <c r="M542" s="1"/>
      <c r="N542" s="169"/>
      <c r="O542" s="187"/>
      <c r="P542" s="187"/>
      <c r="Q542" s="187"/>
    </row>
    <row r="543" spans="5:17" hidden="1" x14ac:dyDescent="0.25">
      <c r="E543" s="1"/>
      <c r="F543" s="1"/>
      <c r="G543" s="1"/>
      <c r="H543" s="1"/>
      <c r="I543" s="1"/>
      <c r="J543" s="1"/>
      <c r="K543" s="1"/>
      <c r="L543" s="1"/>
      <c r="M543" s="1"/>
      <c r="N543" s="169"/>
      <c r="O543" s="187"/>
      <c r="P543" s="187"/>
      <c r="Q543" s="187"/>
    </row>
    <row r="544" spans="5:17" hidden="1" x14ac:dyDescent="0.25">
      <c r="E544" s="1"/>
      <c r="F544" s="1"/>
      <c r="G544" s="1"/>
      <c r="H544" s="1"/>
      <c r="I544" s="1"/>
      <c r="J544" s="1"/>
      <c r="K544" s="1"/>
      <c r="L544" s="1"/>
      <c r="M544" s="1"/>
      <c r="N544" s="169"/>
      <c r="O544" s="187"/>
      <c r="P544" s="187"/>
      <c r="Q544" s="187"/>
    </row>
    <row r="545" spans="5:17" hidden="1" x14ac:dyDescent="0.25">
      <c r="E545" s="1"/>
      <c r="F545" s="1"/>
      <c r="G545" s="1"/>
      <c r="H545" s="1"/>
      <c r="I545" s="1"/>
      <c r="J545" s="1"/>
      <c r="K545" s="1"/>
      <c r="L545" s="1"/>
      <c r="M545" s="1"/>
      <c r="N545" s="169"/>
      <c r="O545" s="187"/>
      <c r="P545" s="187"/>
      <c r="Q545" s="187"/>
    </row>
    <row r="546" spans="5:17" hidden="1" x14ac:dyDescent="0.25">
      <c r="E546" s="1"/>
      <c r="F546" s="1"/>
      <c r="G546" s="1"/>
      <c r="H546" s="1"/>
      <c r="I546" s="1"/>
      <c r="J546" s="1"/>
      <c r="K546" s="1"/>
      <c r="L546" s="1"/>
      <c r="M546" s="1"/>
      <c r="N546" s="169"/>
      <c r="O546" s="187"/>
      <c r="P546" s="187"/>
      <c r="Q546" s="187"/>
    </row>
    <row r="547" spans="5:17" hidden="1" x14ac:dyDescent="0.25">
      <c r="E547" s="1"/>
      <c r="F547" s="1"/>
      <c r="G547" s="1"/>
      <c r="H547" s="1"/>
      <c r="I547" s="1"/>
      <c r="J547" s="1"/>
      <c r="K547" s="1"/>
      <c r="L547" s="1"/>
      <c r="M547" s="1"/>
      <c r="N547" s="169"/>
      <c r="O547" s="187"/>
      <c r="P547" s="187"/>
      <c r="Q547" s="187"/>
    </row>
    <row r="548" spans="5:17" hidden="1" x14ac:dyDescent="0.25">
      <c r="E548" s="1"/>
      <c r="F548" s="1"/>
      <c r="G548" s="1"/>
      <c r="H548" s="1"/>
      <c r="I548" s="1"/>
      <c r="J548" s="1"/>
      <c r="K548" s="1"/>
      <c r="L548" s="1"/>
      <c r="M548" s="1"/>
      <c r="N548" s="169"/>
      <c r="O548" s="187"/>
      <c r="P548" s="187"/>
      <c r="Q548" s="187"/>
    </row>
    <row r="549" spans="5:17" hidden="1" x14ac:dyDescent="0.25">
      <c r="E549" s="1"/>
      <c r="F549" s="1"/>
      <c r="G549" s="1"/>
      <c r="H549" s="1"/>
      <c r="I549" s="1"/>
      <c r="J549" s="1"/>
      <c r="K549" s="1"/>
      <c r="L549" s="1"/>
      <c r="M549" s="1"/>
      <c r="N549" s="169"/>
      <c r="O549" s="187"/>
      <c r="P549" s="187"/>
      <c r="Q549" s="187"/>
    </row>
    <row r="550" spans="5:17" hidden="1" x14ac:dyDescent="0.25">
      <c r="E550" s="1"/>
      <c r="F550" s="1"/>
      <c r="G550" s="1"/>
      <c r="H550" s="1"/>
      <c r="I550" s="1"/>
      <c r="J550" s="1"/>
      <c r="K550" s="1"/>
      <c r="L550" s="1"/>
      <c r="M550" s="1"/>
      <c r="N550" s="169"/>
      <c r="O550" s="187"/>
      <c r="P550" s="187"/>
      <c r="Q550" s="187"/>
    </row>
    <row r="551" spans="5:17" hidden="1" x14ac:dyDescent="0.25">
      <c r="E551" s="1"/>
      <c r="F551" s="1"/>
      <c r="G551" s="1"/>
      <c r="H551" s="1"/>
      <c r="I551" s="1"/>
      <c r="J551" s="1"/>
      <c r="K551" s="1"/>
      <c r="L551" s="1"/>
      <c r="M551" s="1"/>
      <c r="N551" s="169"/>
      <c r="O551" s="187"/>
      <c r="P551" s="187"/>
      <c r="Q551" s="187"/>
    </row>
    <row r="552" spans="5:17" hidden="1" x14ac:dyDescent="0.25">
      <c r="E552" s="1"/>
      <c r="F552" s="1"/>
      <c r="G552" s="1"/>
      <c r="H552" s="1"/>
      <c r="I552" s="1"/>
      <c r="J552" s="1"/>
      <c r="K552" s="1"/>
      <c r="L552" s="1"/>
      <c r="M552" s="1"/>
      <c r="N552" s="169"/>
      <c r="O552" s="187"/>
      <c r="P552" s="187"/>
      <c r="Q552" s="187"/>
    </row>
    <row r="553" spans="5:17" hidden="1" x14ac:dyDescent="0.25">
      <c r="E553" s="1"/>
      <c r="F553" s="1"/>
      <c r="G553" s="1"/>
      <c r="H553" s="1"/>
      <c r="I553" s="1"/>
      <c r="J553" s="1"/>
      <c r="K553" s="1"/>
      <c r="L553" s="1"/>
      <c r="M553" s="1"/>
      <c r="N553" s="169"/>
      <c r="O553" s="187"/>
      <c r="P553" s="187"/>
      <c r="Q553" s="187"/>
    </row>
    <row r="554" spans="5:17" hidden="1" x14ac:dyDescent="0.25">
      <c r="E554" s="1"/>
      <c r="F554" s="1"/>
      <c r="G554" s="1"/>
      <c r="H554" s="1"/>
      <c r="I554" s="1"/>
      <c r="J554" s="1"/>
      <c r="K554" s="1"/>
      <c r="L554" s="1"/>
      <c r="M554" s="1"/>
      <c r="N554" s="169"/>
      <c r="O554" s="187"/>
      <c r="P554" s="187"/>
      <c r="Q554" s="187"/>
    </row>
    <row r="555" spans="5:17" hidden="1" x14ac:dyDescent="0.25">
      <c r="E555" s="1"/>
      <c r="F555" s="1"/>
      <c r="G555" s="1"/>
      <c r="H555" s="1"/>
      <c r="I555" s="1"/>
      <c r="J555" s="1"/>
      <c r="K555" s="1"/>
      <c r="L555" s="1"/>
      <c r="M555" s="1"/>
      <c r="N555" s="169"/>
      <c r="O555" s="187"/>
      <c r="P555" s="187"/>
      <c r="Q555" s="187"/>
    </row>
    <row r="556" spans="5:17" hidden="1" x14ac:dyDescent="0.25">
      <c r="E556" s="1"/>
      <c r="F556" s="1"/>
      <c r="G556" s="1"/>
      <c r="H556" s="1"/>
      <c r="I556" s="1"/>
      <c r="J556" s="1"/>
      <c r="K556" s="1"/>
      <c r="L556" s="1"/>
      <c r="M556" s="1"/>
      <c r="N556" s="169"/>
      <c r="O556" s="187"/>
      <c r="P556" s="187"/>
      <c r="Q556" s="187"/>
    </row>
    <row r="557" spans="5:17" hidden="1" x14ac:dyDescent="0.25">
      <c r="E557" s="1"/>
      <c r="F557" s="1"/>
      <c r="G557" s="1"/>
      <c r="H557" s="1"/>
      <c r="I557" s="1"/>
      <c r="J557" s="1"/>
      <c r="K557" s="1"/>
      <c r="L557" s="1"/>
      <c r="M557" s="1"/>
      <c r="N557" s="169"/>
      <c r="O557" s="187"/>
      <c r="P557" s="187"/>
      <c r="Q557" s="187"/>
    </row>
    <row r="558" spans="5:17" hidden="1" x14ac:dyDescent="0.25">
      <c r="E558" s="1"/>
      <c r="F558" s="1"/>
      <c r="G558" s="1"/>
      <c r="H558" s="1"/>
      <c r="I558" s="1"/>
      <c r="J558" s="1"/>
      <c r="K558" s="1"/>
      <c r="L558" s="1"/>
      <c r="M558" s="1"/>
      <c r="N558" s="169"/>
      <c r="O558" s="187"/>
      <c r="P558" s="187"/>
      <c r="Q558" s="187"/>
    </row>
    <row r="559" spans="5:17" hidden="1" x14ac:dyDescent="0.25">
      <c r="E559" s="1"/>
      <c r="F559" s="1"/>
      <c r="G559" s="1"/>
      <c r="H559" s="1"/>
      <c r="I559" s="1"/>
      <c r="J559" s="1"/>
      <c r="K559" s="1"/>
      <c r="L559" s="1"/>
      <c r="M559" s="1"/>
      <c r="N559" s="169"/>
      <c r="O559" s="187"/>
      <c r="P559" s="187"/>
      <c r="Q559" s="187"/>
    </row>
    <row r="560" spans="5:17" hidden="1" x14ac:dyDescent="0.25">
      <c r="E560" s="1"/>
      <c r="F560" s="1"/>
      <c r="G560" s="1"/>
      <c r="H560" s="1"/>
      <c r="I560" s="1"/>
      <c r="J560" s="1"/>
      <c r="K560" s="1"/>
      <c r="L560" s="1"/>
      <c r="M560" s="1"/>
      <c r="N560" s="169"/>
      <c r="O560" s="187"/>
      <c r="P560" s="187"/>
      <c r="Q560" s="187"/>
    </row>
    <row r="561" spans="5:17" hidden="1" x14ac:dyDescent="0.25">
      <c r="E561" s="1"/>
      <c r="F561" s="1"/>
      <c r="G561" s="1"/>
      <c r="H561" s="1"/>
      <c r="I561" s="1"/>
      <c r="J561" s="1"/>
      <c r="K561" s="1"/>
      <c r="L561" s="1"/>
      <c r="M561" s="1"/>
      <c r="N561" s="169"/>
      <c r="O561" s="187"/>
      <c r="P561" s="187"/>
      <c r="Q561" s="187"/>
    </row>
    <row r="562" spans="5:17" hidden="1" x14ac:dyDescent="0.25">
      <c r="E562" s="1"/>
      <c r="F562" s="1"/>
      <c r="G562" s="1"/>
      <c r="H562" s="1"/>
      <c r="I562" s="1"/>
      <c r="J562" s="1"/>
      <c r="K562" s="1"/>
      <c r="L562" s="1"/>
      <c r="M562" s="1"/>
      <c r="N562" s="169"/>
      <c r="O562" s="187"/>
      <c r="P562" s="187"/>
      <c r="Q562" s="187"/>
    </row>
    <row r="563" spans="5:17" hidden="1" x14ac:dyDescent="0.25">
      <c r="E563" s="1"/>
      <c r="F563" s="1"/>
      <c r="G563" s="1"/>
      <c r="H563" s="1"/>
      <c r="I563" s="1"/>
      <c r="J563" s="1"/>
      <c r="K563" s="1"/>
      <c r="L563" s="1"/>
      <c r="M563" s="1"/>
      <c r="N563" s="169"/>
      <c r="O563" s="187"/>
      <c r="P563" s="187"/>
      <c r="Q563" s="187"/>
    </row>
    <row r="564" spans="5:17" hidden="1" x14ac:dyDescent="0.25">
      <c r="E564" s="1"/>
      <c r="F564" s="1"/>
      <c r="G564" s="1"/>
      <c r="H564" s="1"/>
      <c r="I564" s="1"/>
      <c r="J564" s="1"/>
      <c r="K564" s="1"/>
      <c r="L564" s="1"/>
      <c r="M564" s="1"/>
      <c r="N564" s="169"/>
      <c r="O564" s="187"/>
      <c r="P564" s="187"/>
      <c r="Q564" s="187"/>
    </row>
    <row r="565" spans="5:17" hidden="1" x14ac:dyDescent="0.25">
      <c r="E565" s="1"/>
      <c r="F565" s="1"/>
      <c r="G565" s="1"/>
      <c r="H565" s="1"/>
      <c r="I565" s="1"/>
      <c r="J565" s="1"/>
      <c r="K565" s="1"/>
      <c r="L565" s="1"/>
      <c r="M565" s="1"/>
      <c r="N565" s="169"/>
      <c r="O565" s="187"/>
      <c r="P565" s="187"/>
      <c r="Q565" s="187"/>
    </row>
    <row r="566" spans="5:17" hidden="1" x14ac:dyDescent="0.25">
      <c r="E566" s="1"/>
      <c r="F566" s="1"/>
      <c r="G566" s="1"/>
      <c r="H566" s="1"/>
      <c r="I566" s="1"/>
      <c r="J566" s="1"/>
      <c r="K566" s="1"/>
      <c r="L566" s="1"/>
      <c r="M566" s="1"/>
      <c r="N566" s="169"/>
      <c r="O566" s="187"/>
      <c r="P566" s="187"/>
      <c r="Q566" s="187"/>
    </row>
    <row r="567" spans="5:17" hidden="1" x14ac:dyDescent="0.25">
      <c r="E567" s="1"/>
      <c r="F567" s="1"/>
      <c r="G567" s="1"/>
      <c r="H567" s="1"/>
      <c r="I567" s="1"/>
      <c r="J567" s="1"/>
      <c r="K567" s="1"/>
      <c r="L567" s="1"/>
      <c r="M567" s="1"/>
      <c r="N567" s="169"/>
      <c r="O567" s="187"/>
      <c r="P567" s="187"/>
      <c r="Q567" s="187"/>
    </row>
    <row r="568" spans="5:17" hidden="1" x14ac:dyDescent="0.25">
      <c r="E568" s="1"/>
      <c r="F568" s="1"/>
      <c r="G568" s="1"/>
      <c r="H568" s="1"/>
      <c r="I568" s="1"/>
      <c r="J568" s="1"/>
      <c r="K568" s="1"/>
      <c r="L568" s="1"/>
      <c r="M568" s="1"/>
      <c r="N568" s="169"/>
      <c r="O568" s="187"/>
      <c r="P568" s="187"/>
      <c r="Q568" s="187"/>
    </row>
    <row r="569" spans="5:17" hidden="1" x14ac:dyDescent="0.25">
      <c r="E569" s="1"/>
      <c r="F569" s="1"/>
      <c r="G569" s="1"/>
      <c r="H569" s="1"/>
      <c r="I569" s="1"/>
      <c r="J569" s="1"/>
      <c r="K569" s="1"/>
      <c r="L569" s="1"/>
      <c r="M569" s="1"/>
      <c r="N569" s="169"/>
      <c r="O569" s="187"/>
      <c r="P569" s="187"/>
      <c r="Q569" s="187"/>
    </row>
    <row r="570" spans="5:17" hidden="1" x14ac:dyDescent="0.25">
      <c r="E570" s="1"/>
      <c r="F570" s="1"/>
      <c r="G570" s="1"/>
      <c r="H570" s="1"/>
      <c r="I570" s="1"/>
      <c r="J570" s="1"/>
      <c r="K570" s="1"/>
      <c r="L570" s="1"/>
      <c r="M570" s="1"/>
      <c r="N570" s="169"/>
      <c r="O570" s="187"/>
      <c r="P570" s="187"/>
      <c r="Q570" s="187"/>
    </row>
    <row r="571" spans="5:17" hidden="1" x14ac:dyDescent="0.25">
      <c r="E571" s="1"/>
      <c r="F571" s="1"/>
      <c r="G571" s="1"/>
      <c r="H571" s="1"/>
      <c r="I571" s="1"/>
      <c r="J571" s="1"/>
      <c r="K571" s="1"/>
      <c r="L571" s="1"/>
      <c r="M571" s="1"/>
      <c r="N571" s="169"/>
      <c r="O571" s="187"/>
      <c r="P571" s="187"/>
      <c r="Q571" s="187"/>
    </row>
    <row r="572" spans="5:17" hidden="1" x14ac:dyDescent="0.25">
      <c r="E572" s="1"/>
      <c r="F572" s="1"/>
      <c r="G572" s="1"/>
      <c r="H572" s="1"/>
      <c r="I572" s="1"/>
      <c r="J572" s="1"/>
      <c r="K572" s="1"/>
      <c r="L572" s="1"/>
      <c r="M572" s="1"/>
      <c r="N572" s="169"/>
      <c r="O572" s="187"/>
      <c r="P572" s="187"/>
      <c r="Q572" s="187"/>
    </row>
    <row r="573" spans="5:17" hidden="1" x14ac:dyDescent="0.25">
      <c r="E573" s="1"/>
      <c r="F573" s="1"/>
      <c r="G573" s="1"/>
      <c r="H573" s="1"/>
      <c r="I573" s="1"/>
      <c r="J573" s="1"/>
      <c r="K573" s="1"/>
      <c r="L573" s="1"/>
      <c r="M573" s="1"/>
      <c r="N573" s="169"/>
      <c r="O573" s="187"/>
      <c r="P573" s="187"/>
      <c r="Q573" s="187"/>
    </row>
    <row r="574" spans="5:17" hidden="1" x14ac:dyDescent="0.25">
      <c r="E574" s="1"/>
      <c r="F574" s="1"/>
      <c r="G574" s="1"/>
      <c r="H574" s="1"/>
      <c r="I574" s="1"/>
      <c r="J574" s="1"/>
      <c r="K574" s="1"/>
      <c r="L574" s="1"/>
      <c r="M574" s="1"/>
      <c r="N574" s="169"/>
      <c r="O574" s="187"/>
      <c r="P574" s="187"/>
      <c r="Q574" s="187"/>
    </row>
    <row r="575" spans="5:17" hidden="1" x14ac:dyDescent="0.25">
      <c r="E575" s="1"/>
      <c r="F575" s="1"/>
      <c r="G575" s="1"/>
      <c r="H575" s="1"/>
      <c r="I575" s="1"/>
      <c r="J575" s="1"/>
      <c r="K575" s="1"/>
      <c r="L575" s="1"/>
      <c r="M575" s="1"/>
      <c r="N575" s="169"/>
      <c r="O575" s="187"/>
      <c r="P575" s="187"/>
      <c r="Q575" s="187"/>
    </row>
    <row r="576" spans="5:17" hidden="1" x14ac:dyDescent="0.25">
      <c r="E576" s="142"/>
      <c r="F576" s="142"/>
      <c r="G576" s="142"/>
      <c r="H576" s="142"/>
      <c r="I576" s="142"/>
      <c r="J576" s="142"/>
      <c r="K576" s="142"/>
      <c r="L576" s="142"/>
      <c r="M576" s="142"/>
      <c r="N576" s="187"/>
      <c r="O576" s="187"/>
      <c r="P576" s="187"/>
      <c r="Q576" s="187"/>
    </row>
    <row r="577" spans="5:17" hidden="1" x14ac:dyDescent="0.25">
      <c r="E577" s="142"/>
      <c r="F577" s="142"/>
      <c r="G577" s="142"/>
      <c r="H577" s="142"/>
      <c r="I577" s="142"/>
      <c r="J577" s="142"/>
      <c r="K577" s="142"/>
      <c r="L577" s="142"/>
      <c r="M577" s="142"/>
      <c r="N577" s="187"/>
      <c r="O577" s="187"/>
      <c r="P577" s="187"/>
      <c r="Q577" s="187"/>
    </row>
    <row r="578" spans="5:17" hidden="1" x14ac:dyDescent="0.25">
      <c r="E578" s="142"/>
      <c r="F578" s="142"/>
      <c r="G578" s="142"/>
      <c r="H578" s="142"/>
      <c r="I578" s="142"/>
      <c r="J578" s="142"/>
      <c r="K578" s="142"/>
      <c r="L578" s="142"/>
      <c r="M578" s="142"/>
      <c r="N578" s="187"/>
      <c r="O578" s="187"/>
      <c r="P578" s="187"/>
      <c r="Q578" s="187"/>
    </row>
    <row r="579" spans="5:17" hidden="1" x14ac:dyDescent="0.25">
      <c r="E579" s="142"/>
      <c r="F579" s="142"/>
      <c r="G579" s="142"/>
      <c r="H579" s="142"/>
      <c r="I579" s="142"/>
      <c r="J579" s="142"/>
      <c r="K579" s="142"/>
      <c r="L579" s="142"/>
      <c r="M579" s="142"/>
      <c r="N579" s="187"/>
      <c r="O579" s="187"/>
      <c r="P579" s="187"/>
      <c r="Q579" s="187"/>
    </row>
    <row r="580" spans="5:17" hidden="1" x14ac:dyDescent="0.25">
      <c r="E580" s="142"/>
      <c r="F580" s="142"/>
      <c r="G580" s="142"/>
      <c r="H580" s="142"/>
      <c r="I580" s="142"/>
      <c r="J580" s="142"/>
      <c r="K580" s="142"/>
      <c r="L580" s="142"/>
      <c r="M580" s="142"/>
      <c r="N580" s="187"/>
      <c r="O580" s="187"/>
      <c r="P580" s="187"/>
      <c r="Q580" s="187"/>
    </row>
    <row r="581" spans="5:17" hidden="1" x14ac:dyDescent="0.25">
      <c r="E581" s="142"/>
      <c r="F581" s="142"/>
      <c r="G581" s="142"/>
      <c r="H581" s="142"/>
      <c r="I581" s="142"/>
      <c r="J581" s="142"/>
      <c r="K581" s="142"/>
      <c r="L581" s="142"/>
      <c r="M581" s="142"/>
      <c r="N581" s="187"/>
      <c r="O581" s="187"/>
      <c r="P581" s="187"/>
      <c r="Q581" s="187"/>
    </row>
    <row r="582" spans="5:17" hidden="1" x14ac:dyDescent="0.25">
      <c r="E582" s="142"/>
      <c r="F582" s="142"/>
      <c r="G582" s="142"/>
      <c r="H582" s="142"/>
      <c r="I582" s="142"/>
      <c r="J582" s="142"/>
      <c r="K582" s="142"/>
      <c r="L582" s="142"/>
      <c r="M582" s="142"/>
      <c r="N582" s="187"/>
      <c r="O582" s="187"/>
      <c r="P582" s="187"/>
      <c r="Q582" s="187"/>
    </row>
    <row r="583" spans="5:17" hidden="1" x14ac:dyDescent="0.25">
      <c r="E583" s="142"/>
      <c r="F583" s="142"/>
      <c r="G583" s="142"/>
      <c r="H583" s="142"/>
      <c r="I583" s="142"/>
      <c r="J583" s="142"/>
      <c r="K583" s="142"/>
      <c r="L583" s="142"/>
      <c r="M583" s="142"/>
      <c r="N583" s="187"/>
      <c r="O583" s="187"/>
      <c r="P583" s="187"/>
      <c r="Q583" s="187"/>
    </row>
    <row r="584" spans="5:17" hidden="1" x14ac:dyDescent="0.25">
      <c r="E584" s="142"/>
      <c r="F584" s="142"/>
      <c r="G584" s="142"/>
      <c r="H584" s="142"/>
      <c r="I584" s="142"/>
      <c r="J584" s="142"/>
      <c r="K584" s="142"/>
      <c r="L584" s="142"/>
      <c r="M584" s="142"/>
      <c r="N584" s="187"/>
      <c r="O584" s="187"/>
      <c r="P584" s="187"/>
      <c r="Q584" s="187"/>
    </row>
    <row r="585" spans="5:17" hidden="1" x14ac:dyDescent="0.25">
      <c r="E585" s="142"/>
      <c r="F585" s="142"/>
      <c r="G585" s="142"/>
      <c r="H585" s="142"/>
      <c r="I585" s="142"/>
      <c r="J585" s="142"/>
      <c r="K585" s="142"/>
      <c r="L585" s="142"/>
      <c r="M585" s="142"/>
      <c r="N585" s="187"/>
      <c r="O585" s="187"/>
      <c r="P585" s="187"/>
      <c r="Q585" s="187"/>
    </row>
    <row r="586" spans="5:17" hidden="1" x14ac:dyDescent="0.25">
      <c r="E586" s="142"/>
      <c r="F586" s="142"/>
      <c r="G586" s="142"/>
      <c r="H586" s="142"/>
      <c r="I586" s="142"/>
      <c r="J586" s="142"/>
      <c r="K586" s="142"/>
      <c r="L586" s="142"/>
      <c r="M586" s="142"/>
      <c r="N586" s="187"/>
      <c r="O586" s="187"/>
      <c r="P586" s="187"/>
      <c r="Q586" s="187"/>
    </row>
    <row r="587" spans="5:17" hidden="1" x14ac:dyDescent="0.25">
      <c r="E587" s="142"/>
      <c r="F587" s="142"/>
      <c r="G587" s="142"/>
      <c r="H587" s="142"/>
      <c r="I587" s="142"/>
      <c r="J587" s="142"/>
      <c r="K587" s="142"/>
      <c r="L587" s="142"/>
      <c r="M587" s="142"/>
      <c r="N587" s="187"/>
      <c r="O587" s="187"/>
      <c r="P587" s="187"/>
      <c r="Q587" s="187"/>
    </row>
    <row r="588" spans="5:17" hidden="1" x14ac:dyDescent="0.25">
      <c r="E588" s="142"/>
      <c r="F588" s="142"/>
      <c r="G588" s="142"/>
      <c r="H588" s="142"/>
      <c r="I588" s="142"/>
      <c r="J588" s="142"/>
      <c r="K588" s="142"/>
      <c r="L588" s="142"/>
      <c r="M588" s="142"/>
      <c r="N588" s="187"/>
      <c r="O588" s="187"/>
      <c r="P588" s="187"/>
      <c r="Q588" s="187"/>
    </row>
    <row r="589" spans="5:17" hidden="1" x14ac:dyDescent="0.25">
      <c r="E589" s="142"/>
      <c r="F589" s="142"/>
      <c r="G589" s="142"/>
      <c r="H589" s="142"/>
      <c r="I589" s="142"/>
      <c r="J589" s="142"/>
      <c r="K589" s="142"/>
      <c r="L589" s="142"/>
      <c r="M589" s="142"/>
      <c r="N589" s="187"/>
      <c r="O589" s="187"/>
      <c r="P589" s="187"/>
      <c r="Q589" s="187"/>
    </row>
    <row r="590" spans="5:17" hidden="1" x14ac:dyDescent="0.25">
      <c r="E590" s="142"/>
      <c r="F590" s="142"/>
      <c r="G590" s="142"/>
      <c r="H590" s="142"/>
      <c r="I590" s="142"/>
      <c r="J590" s="142"/>
      <c r="K590" s="142"/>
      <c r="L590" s="142"/>
      <c r="M590" s="142"/>
      <c r="N590" s="187"/>
      <c r="O590" s="187"/>
      <c r="P590" s="187"/>
      <c r="Q590" s="187"/>
    </row>
    <row r="591" spans="5:17" hidden="1" x14ac:dyDescent="0.25">
      <c r="E591" s="142"/>
      <c r="F591" s="142"/>
      <c r="G591" s="142"/>
      <c r="H591" s="142"/>
      <c r="I591" s="142"/>
      <c r="J591" s="142"/>
      <c r="K591" s="142"/>
      <c r="L591" s="142"/>
      <c r="M591" s="142"/>
      <c r="N591" s="187"/>
      <c r="O591" s="187"/>
      <c r="P591" s="187"/>
      <c r="Q591" s="187"/>
    </row>
    <row r="592" spans="5:17" hidden="1" x14ac:dyDescent="0.25">
      <c r="E592" s="142"/>
      <c r="F592" s="142"/>
      <c r="G592" s="142"/>
      <c r="H592" s="142"/>
      <c r="I592" s="142"/>
      <c r="J592" s="142"/>
      <c r="K592" s="142"/>
      <c r="L592" s="142"/>
      <c r="M592" s="142"/>
      <c r="N592" s="187"/>
      <c r="O592" s="187"/>
      <c r="P592" s="187"/>
      <c r="Q592" s="187"/>
    </row>
    <row r="593" spans="5:17" hidden="1" x14ac:dyDescent="0.25">
      <c r="E593" s="142"/>
      <c r="F593" s="142"/>
      <c r="G593" s="142"/>
      <c r="H593" s="142"/>
      <c r="I593" s="142"/>
      <c r="J593" s="142"/>
      <c r="K593" s="142"/>
      <c r="L593" s="142"/>
      <c r="M593" s="142"/>
      <c r="N593" s="187"/>
      <c r="O593" s="187"/>
      <c r="P593" s="187"/>
      <c r="Q593" s="187"/>
    </row>
    <row r="594" spans="5:17" hidden="1" x14ac:dyDescent="0.25">
      <c r="E594" s="142"/>
      <c r="F594" s="142"/>
      <c r="G594" s="142"/>
      <c r="H594" s="142"/>
      <c r="I594" s="142"/>
      <c r="J594" s="142"/>
      <c r="K594" s="142"/>
      <c r="L594" s="142"/>
      <c r="M594" s="142"/>
      <c r="N594" s="187"/>
      <c r="O594" s="187"/>
      <c r="P594" s="187"/>
      <c r="Q594" s="187"/>
    </row>
    <row r="595" spans="5:17" hidden="1" x14ac:dyDescent="0.25">
      <c r="E595" s="142"/>
      <c r="F595" s="142"/>
      <c r="G595" s="142"/>
      <c r="H595" s="142"/>
      <c r="I595" s="142"/>
      <c r="J595" s="142"/>
      <c r="K595" s="142"/>
      <c r="L595" s="142"/>
      <c r="M595" s="142"/>
      <c r="N595" s="187"/>
      <c r="O595" s="187"/>
      <c r="P595" s="187"/>
      <c r="Q595" s="187"/>
    </row>
    <row r="596" spans="5:17" hidden="1" x14ac:dyDescent="0.25">
      <c r="E596" s="142"/>
      <c r="F596" s="142"/>
      <c r="G596" s="142"/>
      <c r="H596" s="142"/>
      <c r="I596" s="142"/>
      <c r="J596" s="142"/>
      <c r="K596" s="142"/>
      <c r="L596" s="142"/>
      <c r="M596" s="142"/>
      <c r="N596" s="187"/>
      <c r="O596" s="187"/>
      <c r="P596" s="187"/>
      <c r="Q596" s="187"/>
    </row>
    <row r="597" spans="5:17" hidden="1" x14ac:dyDescent="0.25">
      <c r="E597" s="142"/>
      <c r="F597" s="142"/>
      <c r="G597" s="142"/>
      <c r="H597" s="142"/>
      <c r="I597" s="142"/>
      <c r="J597" s="142"/>
      <c r="K597" s="142"/>
      <c r="L597" s="142"/>
      <c r="M597" s="142"/>
      <c r="N597" s="187"/>
      <c r="O597" s="187"/>
      <c r="P597" s="187"/>
      <c r="Q597" s="187"/>
    </row>
    <row r="598" spans="5:17" hidden="1" x14ac:dyDescent="0.25">
      <c r="E598" s="142"/>
      <c r="F598" s="142"/>
      <c r="G598" s="142"/>
      <c r="H598" s="142"/>
      <c r="I598" s="142"/>
      <c r="J598" s="142"/>
      <c r="K598" s="142"/>
      <c r="L598" s="142"/>
      <c r="M598" s="142"/>
      <c r="N598" s="187"/>
      <c r="O598" s="187"/>
      <c r="P598" s="187"/>
      <c r="Q598" s="187"/>
    </row>
    <row r="599" spans="5:17" hidden="1" x14ac:dyDescent="0.25">
      <c r="E599" s="142"/>
      <c r="F599" s="142"/>
      <c r="G599" s="142"/>
      <c r="H599" s="142"/>
      <c r="I599" s="142"/>
      <c r="J599" s="142"/>
      <c r="K599" s="142"/>
      <c r="L599" s="142"/>
      <c r="M599" s="142"/>
      <c r="N599" s="187"/>
      <c r="O599" s="187"/>
      <c r="P599" s="187"/>
      <c r="Q599" s="187"/>
    </row>
    <row r="600" spans="5:17" hidden="1" x14ac:dyDescent="0.25">
      <c r="E600" s="142"/>
      <c r="F600" s="142"/>
      <c r="G600" s="142"/>
      <c r="H600" s="142"/>
      <c r="I600" s="142"/>
      <c r="J600" s="142"/>
      <c r="K600" s="142"/>
      <c r="L600" s="142"/>
      <c r="M600" s="142"/>
      <c r="N600" s="187"/>
      <c r="O600" s="187"/>
      <c r="P600" s="187"/>
      <c r="Q600" s="187"/>
    </row>
    <row r="601" spans="5:17" hidden="1" x14ac:dyDescent="0.25">
      <c r="E601" s="142"/>
      <c r="F601" s="142"/>
      <c r="G601" s="142"/>
      <c r="H601" s="142"/>
      <c r="I601" s="142"/>
      <c r="J601" s="142"/>
      <c r="K601" s="142"/>
      <c r="L601" s="142"/>
      <c r="M601" s="142"/>
      <c r="N601" s="187"/>
      <c r="O601" s="187"/>
      <c r="P601" s="187"/>
      <c r="Q601" s="187"/>
    </row>
    <row r="602" spans="5:17" hidden="1" x14ac:dyDescent="0.25">
      <c r="E602" s="142"/>
      <c r="F602" s="142"/>
      <c r="G602" s="142"/>
      <c r="H602" s="142"/>
      <c r="I602" s="142"/>
      <c r="J602" s="142"/>
      <c r="K602" s="142"/>
      <c r="L602" s="142"/>
      <c r="M602" s="142"/>
      <c r="N602" s="187"/>
      <c r="O602" s="187"/>
      <c r="P602" s="187"/>
      <c r="Q602" s="187"/>
    </row>
    <row r="603" spans="5:17" hidden="1" x14ac:dyDescent="0.25">
      <c r="E603" s="142"/>
      <c r="F603" s="142"/>
      <c r="G603" s="142"/>
      <c r="H603" s="142"/>
      <c r="I603" s="142"/>
      <c r="J603" s="142"/>
      <c r="K603" s="142"/>
      <c r="L603" s="142"/>
      <c r="M603" s="142"/>
      <c r="N603" s="187"/>
      <c r="O603" s="187"/>
      <c r="P603" s="187"/>
      <c r="Q603" s="187"/>
    </row>
    <row r="604" spans="5:17" hidden="1" x14ac:dyDescent="0.25">
      <c r="E604" s="142"/>
      <c r="F604" s="142"/>
      <c r="G604" s="142"/>
      <c r="H604" s="142"/>
      <c r="I604" s="142"/>
      <c r="J604" s="142"/>
      <c r="K604" s="142"/>
      <c r="L604" s="142"/>
      <c r="M604" s="142"/>
      <c r="N604" s="187"/>
      <c r="O604" s="187"/>
      <c r="P604" s="187"/>
      <c r="Q604" s="187"/>
    </row>
    <row r="605" spans="5:17" hidden="1" x14ac:dyDescent="0.25">
      <c r="E605" s="142"/>
      <c r="F605" s="142"/>
      <c r="G605" s="142"/>
      <c r="H605" s="142"/>
      <c r="I605" s="142"/>
      <c r="J605" s="142"/>
      <c r="K605" s="142"/>
      <c r="L605" s="142"/>
      <c r="M605" s="142"/>
      <c r="N605" s="187"/>
      <c r="O605" s="187"/>
      <c r="P605" s="187"/>
      <c r="Q605" s="187"/>
    </row>
    <row r="606" spans="5:17" hidden="1" x14ac:dyDescent="0.25">
      <c r="E606" s="142"/>
      <c r="F606" s="142"/>
      <c r="G606" s="142"/>
      <c r="H606" s="142"/>
      <c r="I606" s="142"/>
      <c r="J606" s="142"/>
      <c r="K606" s="142"/>
      <c r="L606" s="142"/>
      <c r="M606" s="142"/>
      <c r="N606" s="187"/>
      <c r="O606" s="187"/>
      <c r="P606" s="187"/>
      <c r="Q606" s="187"/>
    </row>
    <row r="607" spans="5:17" hidden="1" x14ac:dyDescent="0.25">
      <c r="E607" s="142"/>
      <c r="F607" s="142"/>
      <c r="G607" s="142"/>
      <c r="H607" s="142"/>
      <c r="I607" s="142"/>
      <c r="J607" s="142"/>
      <c r="K607" s="142"/>
      <c r="L607" s="142"/>
      <c r="M607" s="142"/>
      <c r="N607" s="187"/>
      <c r="O607" s="187"/>
      <c r="P607" s="187"/>
      <c r="Q607" s="187"/>
    </row>
    <row r="608" spans="5:17" hidden="1" x14ac:dyDescent="0.25">
      <c r="E608" s="142"/>
      <c r="F608" s="142"/>
      <c r="G608" s="142"/>
      <c r="H608" s="142"/>
      <c r="I608" s="142"/>
      <c r="J608" s="142"/>
      <c r="K608" s="142"/>
      <c r="L608" s="142"/>
      <c r="M608" s="142"/>
      <c r="N608" s="187"/>
      <c r="O608" s="187"/>
      <c r="P608" s="187"/>
      <c r="Q608" s="187"/>
    </row>
    <row r="609" spans="5:17" hidden="1" x14ac:dyDescent="0.25">
      <c r="E609" s="142"/>
      <c r="F609" s="142"/>
      <c r="G609" s="142"/>
      <c r="H609" s="142"/>
      <c r="I609" s="142"/>
      <c r="J609" s="142"/>
      <c r="K609" s="142"/>
      <c r="L609" s="142"/>
      <c r="M609" s="142"/>
      <c r="N609" s="187"/>
      <c r="O609" s="187"/>
      <c r="P609" s="187"/>
      <c r="Q609" s="187"/>
    </row>
    <row r="610" spans="5:17" hidden="1" x14ac:dyDescent="0.25">
      <c r="E610" s="142"/>
      <c r="F610" s="142"/>
      <c r="G610" s="142"/>
      <c r="H610" s="142"/>
      <c r="I610" s="142"/>
      <c r="J610" s="142"/>
      <c r="K610" s="142"/>
      <c r="L610" s="142"/>
      <c r="M610" s="142"/>
      <c r="N610" s="187"/>
      <c r="O610" s="187"/>
      <c r="P610" s="187"/>
      <c r="Q610" s="187"/>
    </row>
    <row r="611" spans="5:17" hidden="1" x14ac:dyDescent="0.25">
      <c r="E611" s="142"/>
      <c r="F611" s="142"/>
      <c r="G611" s="142"/>
      <c r="H611" s="142"/>
      <c r="I611" s="142"/>
      <c r="J611" s="142"/>
      <c r="K611" s="142"/>
      <c r="L611" s="142"/>
      <c r="M611" s="142"/>
      <c r="N611" s="187"/>
      <c r="O611" s="187"/>
      <c r="P611" s="187"/>
      <c r="Q611" s="187"/>
    </row>
    <row r="612" spans="5:17" hidden="1" x14ac:dyDescent="0.25">
      <c r="E612" s="142"/>
      <c r="F612" s="142"/>
      <c r="G612" s="142"/>
      <c r="H612" s="142"/>
      <c r="I612" s="142"/>
      <c r="J612" s="142"/>
      <c r="K612" s="142"/>
      <c r="L612" s="142"/>
      <c r="M612" s="142"/>
      <c r="N612" s="187"/>
      <c r="O612" s="187"/>
      <c r="P612" s="187"/>
      <c r="Q612" s="187"/>
    </row>
    <row r="613" spans="5:17" hidden="1" x14ac:dyDescent="0.25">
      <c r="E613" s="142"/>
      <c r="F613" s="142"/>
      <c r="G613" s="142"/>
      <c r="H613" s="142"/>
      <c r="I613" s="142"/>
      <c r="J613" s="142"/>
      <c r="K613" s="142"/>
      <c r="L613" s="142"/>
      <c r="M613" s="142"/>
      <c r="N613" s="187"/>
      <c r="O613" s="187"/>
      <c r="P613" s="187"/>
      <c r="Q613" s="187"/>
    </row>
    <row r="614" spans="5:17" hidden="1" x14ac:dyDescent="0.25">
      <c r="E614" s="142"/>
      <c r="F614" s="142"/>
      <c r="G614" s="142"/>
      <c r="H614" s="142"/>
      <c r="I614" s="142"/>
      <c r="J614" s="142"/>
      <c r="K614" s="142"/>
      <c r="L614" s="142"/>
      <c r="M614" s="142"/>
      <c r="N614" s="187"/>
      <c r="O614" s="187"/>
      <c r="P614" s="187"/>
      <c r="Q614" s="187"/>
    </row>
    <row r="615" spans="5:17" hidden="1" x14ac:dyDescent="0.25">
      <c r="E615" s="142"/>
      <c r="F615" s="142"/>
      <c r="G615" s="142"/>
      <c r="H615" s="142"/>
      <c r="I615" s="142"/>
      <c r="J615" s="142"/>
      <c r="K615" s="142"/>
      <c r="L615" s="142"/>
      <c r="M615" s="142"/>
      <c r="N615" s="187"/>
      <c r="O615" s="187"/>
      <c r="P615" s="187"/>
      <c r="Q615" s="187"/>
    </row>
    <row r="616" spans="5:17" hidden="1" x14ac:dyDescent="0.25">
      <c r="E616" s="142"/>
      <c r="F616" s="142"/>
      <c r="G616" s="142"/>
      <c r="H616" s="142"/>
      <c r="I616" s="142"/>
      <c r="J616" s="142"/>
      <c r="K616" s="142"/>
      <c r="L616" s="142"/>
      <c r="M616" s="142"/>
      <c r="N616" s="187"/>
      <c r="O616" s="187"/>
      <c r="P616" s="187"/>
      <c r="Q616" s="187"/>
    </row>
    <row r="617" spans="5:17" hidden="1" x14ac:dyDescent="0.25">
      <c r="E617" s="142"/>
      <c r="F617" s="142"/>
      <c r="G617" s="142"/>
      <c r="H617" s="142"/>
      <c r="I617" s="142"/>
      <c r="J617" s="142"/>
      <c r="K617" s="142"/>
      <c r="L617" s="142"/>
      <c r="M617" s="142"/>
      <c r="N617" s="187"/>
      <c r="O617" s="187"/>
      <c r="P617" s="187"/>
      <c r="Q617" s="187"/>
    </row>
    <row r="618" spans="5:17" hidden="1" x14ac:dyDescent="0.25">
      <c r="E618" s="142"/>
      <c r="F618" s="142"/>
      <c r="G618" s="142"/>
      <c r="H618" s="142"/>
      <c r="I618" s="142"/>
      <c r="J618" s="142"/>
      <c r="K618" s="142"/>
      <c r="L618" s="142"/>
      <c r="M618" s="142"/>
      <c r="N618" s="187"/>
      <c r="O618" s="187"/>
      <c r="P618" s="187"/>
      <c r="Q618" s="187"/>
    </row>
    <row r="619" spans="5:17" hidden="1" x14ac:dyDescent="0.25">
      <c r="E619" s="142"/>
      <c r="F619" s="142"/>
      <c r="G619" s="142"/>
      <c r="H619" s="142"/>
      <c r="I619" s="142"/>
      <c r="J619" s="142"/>
      <c r="K619" s="142"/>
      <c r="L619" s="142"/>
      <c r="M619" s="142"/>
      <c r="N619" s="187"/>
      <c r="O619" s="187"/>
      <c r="P619" s="187"/>
      <c r="Q619" s="187"/>
    </row>
    <row r="620" spans="5:17" hidden="1" x14ac:dyDescent="0.25">
      <c r="E620" s="142"/>
      <c r="F620" s="142"/>
      <c r="G620" s="142"/>
      <c r="H620" s="142"/>
      <c r="I620" s="142"/>
      <c r="J620" s="142"/>
      <c r="K620" s="142"/>
      <c r="L620" s="142"/>
      <c r="M620" s="142"/>
      <c r="N620" s="187"/>
      <c r="O620" s="187"/>
      <c r="P620" s="187"/>
      <c r="Q620" s="187"/>
    </row>
    <row r="621" spans="5:17" hidden="1" x14ac:dyDescent="0.25">
      <c r="E621" s="142"/>
      <c r="F621" s="142"/>
      <c r="G621" s="142"/>
      <c r="H621" s="142"/>
      <c r="I621" s="142"/>
      <c r="J621" s="142"/>
      <c r="K621" s="142"/>
      <c r="L621" s="142"/>
      <c r="M621" s="142"/>
      <c r="N621" s="187"/>
      <c r="O621" s="187"/>
      <c r="P621" s="187"/>
      <c r="Q621" s="187"/>
    </row>
    <row r="622" spans="5:17" hidden="1" x14ac:dyDescent="0.25">
      <c r="E622" s="142"/>
      <c r="F622" s="142"/>
      <c r="G622" s="142"/>
      <c r="H622" s="142"/>
      <c r="I622" s="142"/>
      <c r="J622" s="142"/>
      <c r="K622" s="142"/>
      <c r="L622" s="142"/>
      <c r="M622" s="142"/>
      <c r="N622" s="187"/>
      <c r="O622" s="187"/>
      <c r="P622" s="187"/>
      <c r="Q622" s="187"/>
    </row>
    <row r="623" spans="5:17" hidden="1" x14ac:dyDescent="0.25">
      <c r="E623" s="142"/>
      <c r="F623" s="142"/>
      <c r="G623" s="142"/>
      <c r="H623" s="142"/>
      <c r="I623" s="142"/>
      <c r="J623" s="142"/>
      <c r="K623" s="142"/>
      <c r="L623" s="142"/>
      <c r="M623" s="142"/>
      <c r="N623" s="187"/>
      <c r="O623" s="187"/>
      <c r="P623" s="187"/>
      <c r="Q623" s="187"/>
    </row>
    <row r="624" spans="5:17" hidden="1" x14ac:dyDescent="0.25">
      <c r="E624" s="142"/>
      <c r="F624" s="142"/>
      <c r="G624" s="142"/>
      <c r="H624" s="142"/>
      <c r="I624" s="142"/>
      <c r="J624" s="142"/>
      <c r="K624" s="142"/>
      <c r="L624" s="142"/>
      <c r="M624" s="142"/>
      <c r="N624" s="187"/>
      <c r="O624" s="187"/>
      <c r="P624" s="187"/>
      <c r="Q624" s="187"/>
    </row>
    <row r="625" spans="5:17" hidden="1" x14ac:dyDescent="0.25">
      <c r="E625" s="142"/>
      <c r="F625" s="142"/>
      <c r="G625" s="142"/>
      <c r="H625" s="142"/>
      <c r="I625" s="142"/>
      <c r="J625" s="142"/>
      <c r="K625" s="142"/>
      <c r="L625" s="142"/>
      <c r="M625" s="142"/>
      <c r="N625" s="187"/>
      <c r="O625" s="187"/>
      <c r="P625" s="187"/>
      <c r="Q625" s="187"/>
    </row>
    <row r="626" spans="5:17" hidden="1" x14ac:dyDescent="0.25">
      <c r="E626" s="142"/>
      <c r="F626" s="142"/>
      <c r="G626" s="142"/>
      <c r="H626" s="142"/>
      <c r="I626" s="142"/>
      <c r="J626" s="142"/>
      <c r="K626" s="142"/>
      <c r="L626" s="142"/>
      <c r="M626" s="142"/>
      <c r="N626" s="187"/>
      <c r="O626" s="187"/>
      <c r="P626" s="187"/>
      <c r="Q626" s="187"/>
    </row>
    <row r="627" spans="5:17" hidden="1" x14ac:dyDescent="0.25">
      <c r="E627" s="142"/>
      <c r="F627" s="142"/>
      <c r="G627" s="142"/>
      <c r="H627" s="142"/>
      <c r="I627" s="142"/>
      <c r="J627" s="142"/>
      <c r="K627" s="142"/>
      <c r="L627" s="142"/>
      <c r="M627" s="142"/>
      <c r="N627" s="187"/>
      <c r="O627" s="187"/>
      <c r="P627" s="187"/>
      <c r="Q627" s="187"/>
    </row>
    <row r="628" spans="5:17" hidden="1" x14ac:dyDescent="0.25">
      <c r="E628" s="142"/>
      <c r="F628" s="142"/>
      <c r="G628" s="142"/>
      <c r="H628" s="142"/>
      <c r="I628" s="142"/>
      <c r="J628" s="142"/>
      <c r="K628" s="142"/>
      <c r="L628" s="142"/>
      <c r="M628" s="142"/>
      <c r="N628" s="187"/>
      <c r="O628" s="187"/>
      <c r="P628" s="187"/>
      <c r="Q628" s="187"/>
    </row>
    <row r="629" spans="5:17" hidden="1" x14ac:dyDescent="0.25">
      <c r="E629" s="142"/>
      <c r="F629" s="142"/>
      <c r="G629" s="142"/>
      <c r="H629" s="142"/>
      <c r="I629" s="142"/>
      <c r="J629" s="142"/>
      <c r="K629" s="142"/>
      <c r="L629" s="142"/>
      <c r="M629" s="142"/>
      <c r="N629" s="187"/>
      <c r="O629" s="187"/>
      <c r="P629" s="187"/>
      <c r="Q629" s="187"/>
    </row>
    <row r="630" spans="5:17" hidden="1" x14ac:dyDescent="0.25">
      <c r="E630" s="142"/>
      <c r="F630" s="142"/>
      <c r="G630" s="142"/>
      <c r="H630" s="142"/>
      <c r="I630" s="142"/>
      <c r="J630" s="142"/>
      <c r="K630" s="142"/>
      <c r="L630" s="142"/>
      <c r="M630" s="142"/>
      <c r="N630" s="187"/>
      <c r="O630" s="187"/>
      <c r="P630" s="187"/>
      <c r="Q630" s="187"/>
    </row>
    <row r="631" spans="5:17" hidden="1" x14ac:dyDescent="0.25">
      <c r="E631" s="142"/>
      <c r="F631" s="142"/>
      <c r="G631" s="142"/>
      <c r="H631" s="142"/>
      <c r="I631" s="142"/>
      <c r="J631" s="142"/>
      <c r="K631" s="142"/>
      <c r="L631" s="142"/>
      <c r="M631" s="142"/>
      <c r="N631" s="187"/>
      <c r="O631" s="187"/>
      <c r="P631" s="187"/>
      <c r="Q631" s="187"/>
    </row>
    <row r="632" spans="5:17" hidden="1" x14ac:dyDescent="0.25">
      <c r="E632" s="142"/>
      <c r="F632" s="142"/>
      <c r="G632" s="142"/>
      <c r="H632" s="142"/>
      <c r="I632" s="142"/>
      <c r="J632" s="142"/>
      <c r="K632" s="142"/>
      <c r="L632" s="142"/>
      <c r="M632" s="142"/>
      <c r="N632" s="187"/>
      <c r="O632" s="187"/>
      <c r="P632" s="187"/>
      <c r="Q632" s="187"/>
    </row>
    <row r="633" spans="5:17" hidden="1" x14ac:dyDescent="0.25">
      <c r="E633" s="142"/>
      <c r="F633" s="142"/>
      <c r="G633" s="142"/>
      <c r="H633" s="142"/>
      <c r="I633" s="142"/>
      <c r="J633" s="142"/>
      <c r="K633" s="142"/>
      <c r="L633" s="142"/>
      <c r="M633" s="142"/>
      <c r="N633" s="187"/>
      <c r="O633" s="187"/>
      <c r="P633" s="187"/>
      <c r="Q633" s="187"/>
    </row>
    <row r="634" spans="5:17" hidden="1" x14ac:dyDescent="0.25">
      <c r="E634" s="142"/>
      <c r="F634" s="142"/>
      <c r="G634" s="142"/>
      <c r="H634" s="142"/>
      <c r="I634" s="142"/>
      <c r="J634" s="142"/>
      <c r="K634" s="142"/>
      <c r="L634" s="142"/>
      <c r="M634" s="142"/>
      <c r="N634" s="187"/>
      <c r="O634" s="187"/>
      <c r="P634" s="187"/>
      <c r="Q634" s="187"/>
    </row>
    <row r="635" spans="5:17" hidden="1" x14ac:dyDescent="0.25">
      <c r="E635" s="142"/>
      <c r="F635" s="142"/>
      <c r="G635" s="142"/>
      <c r="H635" s="142"/>
      <c r="I635" s="142"/>
      <c r="J635" s="142"/>
      <c r="K635" s="142"/>
      <c r="L635" s="142"/>
      <c r="M635" s="142"/>
      <c r="N635" s="187"/>
      <c r="O635" s="187"/>
      <c r="P635" s="187"/>
      <c r="Q635" s="187"/>
    </row>
    <row r="636" spans="5:17" hidden="1" x14ac:dyDescent="0.25">
      <c r="E636" s="142"/>
      <c r="F636" s="142"/>
      <c r="G636" s="142"/>
      <c r="H636" s="142"/>
      <c r="I636" s="142"/>
      <c r="J636" s="142"/>
      <c r="K636" s="142"/>
      <c r="L636" s="142"/>
      <c r="M636" s="142"/>
      <c r="N636" s="187"/>
      <c r="O636" s="187"/>
      <c r="P636" s="187"/>
      <c r="Q636" s="187"/>
    </row>
    <row r="637" spans="5:17" hidden="1" x14ac:dyDescent="0.25">
      <c r="E637" s="142"/>
      <c r="F637" s="142"/>
      <c r="G637" s="142"/>
      <c r="H637" s="142"/>
      <c r="I637" s="142"/>
      <c r="J637" s="142"/>
      <c r="K637" s="142"/>
      <c r="L637" s="142"/>
      <c r="M637" s="142"/>
      <c r="N637" s="187"/>
      <c r="O637" s="187"/>
      <c r="P637" s="187"/>
      <c r="Q637" s="187"/>
    </row>
    <row r="638" spans="5:17" hidden="1" x14ac:dyDescent="0.25">
      <c r="E638" s="142"/>
      <c r="F638" s="142"/>
      <c r="G638" s="142"/>
      <c r="H638" s="142"/>
      <c r="I638" s="142"/>
      <c r="J638" s="142"/>
      <c r="K638" s="142"/>
      <c r="L638" s="142"/>
      <c r="M638" s="142"/>
      <c r="N638" s="187"/>
      <c r="O638" s="187"/>
      <c r="P638" s="187"/>
      <c r="Q638" s="187"/>
    </row>
    <row r="639" spans="5:17" hidden="1" x14ac:dyDescent="0.25">
      <c r="E639" s="142"/>
      <c r="F639" s="142"/>
      <c r="G639" s="142"/>
      <c r="H639" s="142"/>
      <c r="I639" s="142"/>
      <c r="J639" s="142"/>
      <c r="K639" s="142"/>
      <c r="L639" s="142"/>
      <c r="M639" s="142"/>
      <c r="N639" s="187"/>
      <c r="O639" s="187"/>
      <c r="P639" s="187"/>
      <c r="Q639" s="187"/>
    </row>
    <row r="640" spans="5:17" hidden="1" x14ac:dyDescent="0.25">
      <c r="E640" s="142"/>
      <c r="F640" s="142"/>
      <c r="G640" s="142"/>
      <c r="H640" s="142"/>
      <c r="I640" s="142"/>
      <c r="J640" s="142"/>
      <c r="K640" s="142"/>
      <c r="L640" s="142"/>
      <c r="M640" s="142"/>
      <c r="N640" s="187"/>
      <c r="O640" s="187"/>
      <c r="P640" s="187"/>
      <c r="Q640" s="187"/>
    </row>
    <row r="641" spans="5:17" hidden="1" x14ac:dyDescent="0.25">
      <c r="E641" s="142"/>
      <c r="F641" s="142"/>
      <c r="G641" s="142"/>
      <c r="H641" s="142"/>
      <c r="I641" s="142"/>
      <c r="J641" s="142"/>
      <c r="K641" s="142"/>
      <c r="L641" s="142"/>
      <c r="M641" s="142"/>
      <c r="N641" s="187"/>
      <c r="O641" s="187"/>
      <c r="P641" s="187"/>
      <c r="Q641" s="187"/>
    </row>
    <row r="642" spans="5:17" hidden="1" x14ac:dyDescent="0.25">
      <c r="E642" s="142"/>
      <c r="F642" s="142"/>
      <c r="G642" s="142"/>
      <c r="H642" s="142"/>
      <c r="I642" s="142"/>
      <c r="J642" s="142"/>
      <c r="K642" s="142"/>
      <c r="L642" s="142"/>
      <c r="M642" s="142"/>
      <c r="N642" s="187"/>
      <c r="O642" s="187"/>
      <c r="P642" s="187"/>
      <c r="Q642" s="187"/>
    </row>
    <row r="643" spans="5:17" hidden="1" x14ac:dyDescent="0.25">
      <c r="E643" s="142"/>
      <c r="F643" s="142"/>
      <c r="G643" s="142"/>
      <c r="H643" s="142"/>
      <c r="I643" s="142"/>
      <c r="J643" s="142"/>
      <c r="K643" s="142"/>
      <c r="L643" s="142"/>
      <c r="M643" s="142"/>
      <c r="N643" s="187"/>
      <c r="O643" s="187"/>
      <c r="P643" s="187"/>
      <c r="Q643" s="187"/>
    </row>
    <row r="644" spans="5:17" hidden="1" x14ac:dyDescent="0.25">
      <c r="E644" s="142"/>
      <c r="F644" s="142"/>
      <c r="G644" s="142"/>
      <c r="H644" s="142"/>
      <c r="I644" s="142"/>
      <c r="J644" s="142"/>
      <c r="K644" s="142"/>
      <c r="L644" s="142"/>
      <c r="M644" s="142"/>
      <c r="N644" s="187"/>
      <c r="O644" s="187"/>
      <c r="P644" s="187"/>
      <c r="Q644" s="187"/>
    </row>
    <row r="645" spans="5:17" hidden="1" x14ac:dyDescent="0.25">
      <c r="E645" s="142"/>
      <c r="F645" s="142"/>
      <c r="G645" s="142"/>
      <c r="H645" s="142"/>
      <c r="I645" s="142"/>
      <c r="J645" s="142"/>
      <c r="K645" s="142"/>
      <c r="L645" s="142"/>
      <c r="M645" s="142"/>
      <c r="N645" s="187"/>
      <c r="O645" s="187"/>
      <c r="P645" s="187"/>
      <c r="Q645" s="187"/>
    </row>
    <row r="646" spans="5:17" hidden="1" x14ac:dyDescent="0.25">
      <c r="E646" s="142"/>
      <c r="F646" s="142"/>
      <c r="G646" s="142"/>
      <c r="H646" s="142"/>
      <c r="I646" s="142"/>
      <c r="J646" s="142"/>
      <c r="K646" s="142"/>
      <c r="L646" s="142"/>
      <c r="M646" s="142"/>
      <c r="N646" s="187"/>
      <c r="O646" s="187"/>
      <c r="P646" s="187"/>
      <c r="Q646" s="187"/>
    </row>
    <row r="647" spans="5:17" hidden="1" x14ac:dyDescent="0.25">
      <c r="E647" s="142"/>
      <c r="F647" s="142"/>
      <c r="G647" s="142"/>
      <c r="H647" s="142"/>
      <c r="I647" s="142"/>
      <c r="J647" s="142"/>
      <c r="K647" s="142"/>
      <c r="L647" s="142"/>
      <c r="M647" s="142"/>
      <c r="N647" s="187"/>
      <c r="O647" s="187"/>
      <c r="P647" s="187"/>
      <c r="Q647" s="187"/>
    </row>
    <row r="648" spans="5:17" hidden="1" x14ac:dyDescent="0.25">
      <c r="E648" s="142"/>
      <c r="F648" s="142"/>
      <c r="G648" s="142"/>
      <c r="H648" s="142"/>
      <c r="I648" s="142"/>
      <c r="J648" s="142"/>
      <c r="K648" s="142"/>
      <c r="L648" s="142"/>
      <c r="M648" s="142"/>
      <c r="N648" s="187"/>
      <c r="O648" s="187"/>
      <c r="P648" s="187"/>
      <c r="Q648" s="187"/>
    </row>
    <row r="649" spans="5:17" hidden="1" x14ac:dyDescent="0.25">
      <c r="E649" s="142"/>
      <c r="F649" s="142"/>
      <c r="G649" s="142"/>
      <c r="H649" s="142"/>
      <c r="I649" s="142"/>
      <c r="J649" s="142"/>
      <c r="K649" s="142"/>
      <c r="L649" s="142"/>
      <c r="M649" s="142"/>
      <c r="N649" s="187"/>
      <c r="O649" s="187"/>
      <c r="P649" s="187"/>
      <c r="Q649" s="187"/>
    </row>
    <row r="650" spans="5:17" hidden="1" x14ac:dyDescent="0.25">
      <c r="E650" s="142"/>
      <c r="F650" s="142"/>
      <c r="G650" s="142"/>
      <c r="H650" s="142"/>
      <c r="I650" s="142"/>
      <c r="J650" s="142"/>
      <c r="K650" s="142"/>
      <c r="L650" s="142"/>
      <c r="M650" s="142"/>
      <c r="N650" s="187"/>
      <c r="O650" s="187"/>
      <c r="P650" s="187"/>
      <c r="Q650" s="187"/>
    </row>
    <row r="651" spans="5:17" hidden="1" x14ac:dyDescent="0.25">
      <c r="E651" s="142"/>
      <c r="F651" s="142"/>
      <c r="G651" s="142"/>
      <c r="H651" s="142"/>
      <c r="I651" s="142"/>
      <c r="J651" s="142"/>
      <c r="K651" s="142"/>
      <c r="L651" s="142"/>
      <c r="M651" s="142"/>
      <c r="N651" s="187"/>
      <c r="O651" s="187"/>
      <c r="P651" s="187"/>
      <c r="Q651" s="187"/>
    </row>
    <row r="652" spans="5:17" hidden="1" x14ac:dyDescent="0.25">
      <c r="E652" s="142"/>
      <c r="F652" s="142"/>
      <c r="G652" s="142"/>
      <c r="H652" s="142"/>
      <c r="I652" s="142"/>
      <c r="J652" s="142"/>
      <c r="K652" s="142"/>
      <c r="L652" s="142"/>
      <c r="M652" s="142"/>
      <c r="N652" s="187"/>
      <c r="O652" s="187"/>
      <c r="P652" s="187"/>
      <c r="Q652" s="187"/>
    </row>
    <row r="653" spans="5:17" hidden="1" x14ac:dyDescent="0.25">
      <c r="E653" s="142"/>
      <c r="F653" s="142"/>
      <c r="G653" s="142"/>
      <c r="H653" s="142"/>
      <c r="I653" s="142"/>
      <c r="J653" s="142"/>
      <c r="K653" s="142"/>
      <c r="L653" s="142"/>
      <c r="M653" s="142"/>
      <c r="N653" s="187"/>
      <c r="O653" s="187"/>
      <c r="P653" s="187"/>
      <c r="Q653" s="187"/>
    </row>
    <row r="654" spans="5:17" hidden="1" x14ac:dyDescent="0.25">
      <c r="E654" s="142"/>
      <c r="F654" s="142"/>
      <c r="G654" s="142"/>
      <c r="H654" s="142"/>
      <c r="I654" s="142"/>
      <c r="J654" s="142"/>
      <c r="K654" s="142"/>
      <c r="L654" s="142"/>
      <c r="M654" s="142"/>
      <c r="N654" s="187"/>
      <c r="O654" s="187"/>
      <c r="P654" s="187"/>
      <c r="Q654" s="187"/>
    </row>
    <row r="655" spans="5:17" hidden="1" x14ac:dyDescent="0.25">
      <c r="E655" s="142"/>
      <c r="F655" s="142"/>
      <c r="G655" s="142"/>
      <c r="H655" s="142"/>
      <c r="I655" s="142"/>
      <c r="J655" s="142"/>
      <c r="K655" s="142"/>
      <c r="L655" s="142"/>
      <c r="M655" s="142"/>
      <c r="N655" s="187"/>
      <c r="O655" s="187"/>
      <c r="P655" s="187"/>
      <c r="Q655" s="187"/>
    </row>
    <row r="656" spans="5:17" hidden="1" x14ac:dyDescent="0.25">
      <c r="E656" s="142"/>
      <c r="F656" s="142"/>
      <c r="G656" s="142"/>
      <c r="H656" s="142"/>
      <c r="I656" s="142"/>
      <c r="J656" s="142"/>
      <c r="K656" s="142"/>
      <c r="L656" s="142"/>
      <c r="M656" s="142"/>
      <c r="N656" s="187"/>
      <c r="O656" s="187"/>
      <c r="P656" s="187"/>
      <c r="Q656" s="187"/>
    </row>
    <row r="657" spans="5:17" hidden="1" x14ac:dyDescent="0.25">
      <c r="E657" s="142"/>
      <c r="F657" s="142"/>
      <c r="G657" s="142"/>
      <c r="H657" s="142"/>
      <c r="I657" s="142"/>
      <c r="J657" s="142"/>
      <c r="K657" s="142"/>
      <c r="L657" s="142"/>
      <c r="M657" s="142"/>
      <c r="N657" s="187"/>
      <c r="O657" s="187"/>
      <c r="P657" s="187"/>
      <c r="Q657" s="187"/>
    </row>
    <row r="658" spans="5:17" hidden="1" x14ac:dyDescent="0.25">
      <c r="E658" s="142"/>
      <c r="F658" s="142"/>
      <c r="G658" s="142"/>
      <c r="H658" s="142"/>
      <c r="I658" s="142"/>
      <c r="J658" s="142"/>
      <c r="K658" s="142"/>
      <c r="L658" s="142"/>
      <c r="M658" s="142"/>
      <c r="N658" s="187"/>
      <c r="O658" s="187"/>
      <c r="P658" s="187"/>
      <c r="Q658" s="187"/>
    </row>
    <row r="659" spans="5:17" hidden="1" x14ac:dyDescent="0.25">
      <c r="E659" s="142"/>
      <c r="F659" s="142"/>
      <c r="G659" s="142"/>
      <c r="H659" s="142"/>
      <c r="I659" s="142"/>
      <c r="J659" s="142"/>
      <c r="K659" s="142"/>
      <c r="L659" s="142"/>
      <c r="M659" s="142"/>
      <c r="N659" s="187"/>
      <c r="O659" s="187"/>
      <c r="P659" s="187"/>
      <c r="Q659" s="187"/>
    </row>
    <row r="660" spans="5:17" hidden="1" x14ac:dyDescent="0.25">
      <c r="E660" s="142"/>
      <c r="F660" s="142"/>
      <c r="G660" s="142"/>
      <c r="H660" s="142"/>
      <c r="I660" s="142"/>
      <c r="J660" s="142"/>
      <c r="K660" s="142"/>
      <c r="L660" s="142"/>
      <c r="M660" s="142"/>
      <c r="N660" s="187"/>
      <c r="O660" s="187"/>
      <c r="P660" s="187"/>
      <c r="Q660" s="187"/>
    </row>
    <row r="661" spans="5:17" hidden="1" x14ac:dyDescent="0.25">
      <c r="E661" s="142"/>
      <c r="F661" s="142"/>
      <c r="G661" s="142"/>
      <c r="H661" s="142"/>
      <c r="I661" s="142"/>
      <c r="J661" s="142"/>
      <c r="K661" s="142"/>
      <c r="L661" s="142"/>
      <c r="M661" s="142"/>
      <c r="N661" s="187"/>
      <c r="O661" s="187"/>
      <c r="P661" s="187"/>
      <c r="Q661" s="187"/>
    </row>
    <row r="662" spans="5:17" hidden="1" x14ac:dyDescent="0.25">
      <c r="E662" s="142"/>
      <c r="F662" s="142"/>
      <c r="G662" s="142"/>
      <c r="H662" s="142"/>
      <c r="I662" s="142"/>
      <c r="J662" s="142"/>
      <c r="K662" s="142"/>
      <c r="L662" s="142"/>
      <c r="M662" s="142"/>
      <c r="N662" s="187"/>
      <c r="O662" s="187"/>
      <c r="P662" s="187"/>
      <c r="Q662" s="187"/>
    </row>
  </sheetData>
  <sheetProtection password="C878" sheet="1" objects="1" scenarios="1"/>
  <mergeCells count="26">
    <mergeCell ref="O14:Q14"/>
    <mergeCell ref="O15:P15"/>
    <mergeCell ref="I315:J320"/>
    <mergeCell ref="E403:K403"/>
    <mergeCell ref="E30:K30"/>
    <mergeCell ref="E32:K32"/>
    <mergeCell ref="E31:K31"/>
    <mergeCell ref="E306:F306"/>
    <mergeCell ref="J305:K305"/>
    <mergeCell ref="E301:F301"/>
    <mergeCell ref="E303:F303"/>
    <mergeCell ref="E304:F304"/>
    <mergeCell ref="G301:H301"/>
    <mergeCell ref="G303:H303"/>
    <mergeCell ref="G304:H304"/>
    <mergeCell ref="I313:J314"/>
    <mergeCell ref="K310:L311"/>
    <mergeCell ref="F307:G307"/>
    <mergeCell ref="E1:K1"/>
    <mergeCell ref="G24:H24"/>
    <mergeCell ref="G25:H25"/>
    <mergeCell ref="E11:K11"/>
    <mergeCell ref="J306:K306"/>
    <mergeCell ref="G21:H21"/>
    <mergeCell ref="G22:H22"/>
    <mergeCell ref="E29:K29"/>
  </mergeCells>
  <conditionalFormatting sqref="I315:J320">
    <cfRule type="expression" dxfId="0" priority="1">
      <formula>$O$326&lt;&gt;""</formula>
    </cfRule>
  </conditionalFormatting>
  <dataValidations xWindow="327" yWindow="427" count="8">
    <dataValidation type="list" allowBlank="1" showInputMessage="1" showErrorMessage="1" sqref="G15:H15">
      <formula1>"Importe de crédito,Valor del inmueble"</formula1>
    </dataValidation>
    <dataValidation type="list" allowBlank="1" showInputMessage="1" showErrorMessage="1" sqref="H18">
      <formula1>"10,15,20"</formula1>
    </dataValidation>
    <dataValidation type="list" allowBlank="1" showInputMessage="1" showErrorMessage="1" sqref="H17">
      <formula1>"10%,20%,30%"</formula1>
    </dataValidation>
    <dataValidation type="decimal" operator="greaterThanOrEqual" allowBlank="1" showInputMessage="1" showErrorMessage="1" errorTitle="MONTO INCORRECTO" error="MONTO INCORRECTO, NO ALCANZA MINIMO PERMITIDO" sqref="G16">
      <formula1>L16</formula1>
    </dataValidation>
    <dataValidation type="list" allowBlank="1" showInputMessage="1" showErrorMessage="1" sqref="G301:H301">
      <formula1>$O$301:$O$303</formula1>
    </dataValidation>
    <dataValidation type="list" allowBlank="1" showInputMessage="1" showErrorMessage="1" sqref="G309 J309">
      <formula1>"NO,SI"</formula1>
    </dataValidation>
    <dataValidation type="list" allowBlank="1" showInputMessage="1" showErrorMessage="1" sqref="G306">
      <formula1>$O$308:$O$311</formula1>
    </dataValidation>
    <dataValidation type="list" allowBlank="1" showInputMessage="1" showErrorMessage="1" sqref="J311">
      <formula1>$O$315:$O$316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scale="69" orientation="landscape" r:id="rId1"/>
  <ignoredErrors>
    <ignoredError sqref="G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WWA75"/>
  <sheetViews>
    <sheetView showGridLines="0" showRowColHeaders="0" showZeros="0" topLeftCell="A2" zoomScale="70" zoomScaleNormal="70" workbookViewId="0">
      <selection activeCell="R2" sqref="R2"/>
    </sheetView>
  </sheetViews>
  <sheetFormatPr baseColWidth="10" defaultColWidth="0" defaultRowHeight="15" customHeight="1" zeroHeight="1" x14ac:dyDescent="0.25"/>
  <cols>
    <col min="1" max="1" width="30.7109375" customWidth="1"/>
    <col min="2" max="2" width="2.28515625" customWidth="1"/>
    <col min="3" max="5" width="7.5703125" customWidth="1"/>
    <col min="6" max="8" width="7.7109375" customWidth="1"/>
    <col min="9" max="9" width="7.85546875" customWidth="1"/>
    <col min="10" max="10" width="8.5703125" customWidth="1"/>
    <col min="11" max="12" width="3.85546875" customWidth="1"/>
    <col min="13" max="13" width="3" customWidth="1"/>
    <col min="14" max="14" width="7.140625" customWidth="1"/>
    <col min="15" max="15" width="9" customWidth="1"/>
    <col min="16" max="16" width="3.28515625" customWidth="1"/>
    <col min="17" max="17" width="19.5703125" customWidth="1"/>
    <col min="18" max="18" width="2.28515625" customWidth="1"/>
    <col min="19" max="19" width="31.7109375" customWidth="1"/>
    <col min="20" max="21" width="11.42578125" hidden="1"/>
    <col min="22" max="22" width="13.140625" hidden="1"/>
    <col min="23" max="263" width="11.42578125" hidden="1"/>
    <col min="264" max="264" width="3.85546875" hidden="1"/>
    <col min="265" max="265" width="3.28515625" hidden="1"/>
    <col min="266" max="271" width="11.42578125" hidden="1"/>
    <col min="272" max="272" width="5.28515625" hidden="1"/>
    <col min="273" max="273" width="19.5703125" hidden="1"/>
    <col min="274" max="274" width="3.28515625" hidden="1"/>
    <col min="275" max="275" width="7" hidden="1"/>
    <col min="276" max="519" width="11.42578125" hidden="1"/>
    <col min="520" max="520" width="3.85546875" hidden="1"/>
    <col min="521" max="521" width="3.28515625" hidden="1"/>
    <col min="522" max="527" width="11.42578125" hidden="1"/>
    <col min="528" max="528" width="5.28515625" hidden="1"/>
    <col min="529" max="529" width="19.5703125" hidden="1"/>
    <col min="530" max="530" width="3.28515625" hidden="1"/>
    <col min="531" max="531" width="7" hidden="1"/>
    <col min="532" max="775" width="11.42578125" hidden="1"/>
    <col min="776" max="776" width="3.85546875" hidden="1"/>
    <col min="777" max="777" width="3.28515625" hidden="1"/>
    <col min="778" max="783" width="11.42578125" hidden="1"/>
    <col min="784" max="784" width="5.28515625" hidden="1"/>
    <col min="785" max="785" width="19.5703125" hidden="1"/>
    <col min="786" max="786" width="3.28515625" hidden="1"/>
    <col min="787" max="787" width="7" hidden="1"/>
    <col min="788" max="1031" width="11.42578125" hidden="1"/>
    <col min="1032" max="1032" width="3.85546875" hidden="1"/>
    <col min="1033" max="1033" width="3.28515625" hidden="1"/>
    <col min="1034" max="1039" width="11.42578125" hidden="1"/>
    <col min="1040" max="1040" width="5.28515625" hidden="1"/>
    <col min="1041" max="1041" width="19.5703125" hidden="1"/>
    <col min="1042" max="1042" width="3.28515625" hidden="1"/>
    <col min="1043" max="1043" width="7" hidden="1"/>
    <col min="1044" max="1287" width="11.42578125" hidden="1"/>
    <col min="1288" max="1288" width="3.85546875" hidden="1"/>
    <col min="1289" max="1289" width="3.28515625" hidden="1"/>
    <col min="1290" max="1295" width="11.42578125" hidden="1"/>
    <col min="1296" max="1296" width="5.28515625" hidden="1"/>
    <col min="1297" max="1297" width="19.5703125" hidden="1"/>
    <col min="1298" max="1298" width="3.28515625" hidden="1"/>
    <col min="1299" max="1299" width="7" hidden="1"/>
    <col min="1300" max="1543" width="11.42578125" hidden="1"/>
    <col min="1544" max="1544" width="3.85546875" hidden="1"/>
    <col min="1545" max="1545" width="3.28515625" hidden="1"/>
    <col min="1546" max="1551" width="11.42578125" hidden="1"/>
    <col min="1552" max="1552" width="5.28515625" hidden="1"/>
    <col min="1553" max="1553" width="19.5703125" hidden="1"/>
    <col min="1554" max="1554" width="3.28515625" hidden="1"/>
    <col min="1555" max="1555" width="7" hidden="1"/>
    <col min="1556" max="1799" width="11.42578125" hidden="1"/>
    <col min="1800" max="1800" width="3.85546875" hidden="1"/>
    <col min="1801" max="1801" width="3.28515625" hidden="1"/>
    <col min="1802" max="1807" width="11.42578125" hidden="1"/>
    <col min="1808" max="1808" width="5.28515625" hidden="1"/>
    <col min="1809" max="1809" width="19.5703125" hidden="1"/>
    <col min="1810" max="1810" width="3.28515625" hidden="1"/>
    <col min="1811" max="1811" width="7" hidden="1"/>
    <col min="1812" max="2055" width="11.42578125" hidden="1"/>
    <col min="2056" max="2056" width="3.85546875" hidden="1"/>
    <col min="2057" max="2057" width="3.28515625" hidden="1"/>
    <col min="2058" max="2063" width="11.42578125" hidden="1"/>
    <col min="2064" max="2064" width="5.28515625" hidden="1"/>
    <col min="2065" max="2065" width="19.5703125" hidden="1"/>
    <col min="2066" max="2066" width="3.28515625" hidden="1"/>
    <col min="2067" max="2067" width="7" hidden="1"/>
    <col min="2068" max="2311" width="11.42578125" hidden="1"/>
    <col min="2312" max="2312" width="3.85546875" hidden="1"/>
    <col min="2313" max="2313" width="3.28515625" hidden="1"/>
    <col min="2314" max="2319" width="11.42578125" hidden="1"/>
    <col min="2320" max="2320" width="5.28515625" hidden="1"/>
    <col min="2321" max="2321" width="19.5703125" hidden="1"/>
    <col min="2322" max="2322" width="3.28515625" hidden="1"/>
    <col min="2323" max="2323" width="7" hidden="1"/>
    <col min="2324" max="2567" width="11.42578125" hidden="1"/>
    <col min="2568" max="2568" width="3.85546875" hidden="1"/>
    <col min="2569" max="2569" width="3.28515625" hidden="1"/>
    <col min="2570" max="2575" width="11.42578125" hidden="1"/>
    <col min="2576" max="2576" width="5.28515625" hidden="1"/>
    <col min="2577" max="2577" width="19.5703125" hidden="1"/>
    <col min="2578" max="2578" width="3.28515625" hidden="1"/>
    <col min="2579" max="2579" width="7" hidden="1"/>
    <col min="2580" max="2823" width="11.42578125" hidden="1"/>
    <col min="2824" max="2824" width="3.85546875" hidden="1"/>
    <col min="2825" max="2825" width="3.28515625" hidden="1"/>
    <col min="2826" max="2831" width="11.42578125" hidden="1"/>
    <col min="2832" max="2832" width="5.28515625" hidden="1"/>
    <col min="2833" max="2833" width="19.5703125" hidden="1"/>
    <col min="2834" max="2834" width="3.28515625" hidden="1"/>
    <col min="2835" max="2835" width="7" hidden="1"/>
    <col min="2836" max="3079" width="11.42578125" hidden="1"/>
    <col min="3080" max="3080" width="3.85546875" hidden="1"/>
    <col min="3081" max="3081" width="3.28515625" hidden="1"/>
    <col min="3082" max="3087" width="11.42578125" hidden="1"/>
    <col min="3088" max="3088" width="5.28515625" hidden="1"/>
    <col min="3089" max="3089" width="19.5703125" hidden="1"/>
    <col min="3090" max="3090" width="3.28515625" hidden="1"/>
    <col min="3091" max="3091" width="7" hidden="1"/>
    <col min="3092" max="3335" width="11.42578125" hidden="1"/>
    <col min="3336" max="3336" width="3.85546875" hidden="1"/>
    <col min="3337" max="3337" width="3.28515625" hidden="1"/>
    <col min="3338" max="3343" width="11.42578125" hidden="1"/>
    <col min="3344" max="3344" width="5.28515625" hidden="1"/>
    <col min="3345" max="3345" width="19.5703125" hidden="1"/>
    <col min="3346" max="3346" width="3.28515625" hidden="1"/>
    <col min="3347" max="3347" width="7" hidden="1"/>
    <col min="3348" max="3591" width="11.42578125" hidden="1"/>
    <col min="3592" max="3592" width="3.85546875" hidden="1"/>
    <col min="3593" max="3593" width="3.28515625" hidden="1"/>
    <col min="3594" max="3599" width="11.42578125" hidden="1"/>
    <col min="3600" max="3600" width="5.28515625" hidden="1"/>
    <col min="3601" max="3601" width="19.5703125" hidden="1"/>
    <col min="3602" max="3602" width="3.28515625" hidden="1"/>
    <col min="3603" max="3603" width="7" hidden="1"/>
    <col min="3604" max="3847" width="11.42578125" hidden="1"/>
    <col min="3848" max="3848" width="3.85546875" hidden="1"/>
    <col min="3849" max="3849" width="3.28515625" hidden="1"/>
    <col min="3850" max="3855" width="11.42578125" hidden="1"/>
    <col min="3856" max="3856" width="5.28515625" hidden="1"/>
    <col min="3857" max="3857" width="19.5703125" hidden="1"/>
    <col min="3858" max="3858" width="3.28515625" hidden="1"/>
    <col min="3859" max="3859" width="7" hidden="1"/>
    <col min="3860" max="4103" width="11.42578125" hidden="1"/>
    <col min="4104" max="4104" width="3.85546875" hidden="1"/>
    <col min="4105" max="4105" width="3.28515625" hidden="1"/>
    <col min="4106" max="4111" width="11.42578125" hidden="1"/>
    <col min="4112" max="4112" width="5.28515625" hidden="1"/>
    <col min="4113" max="4113" width="19.5703125" hidden="1"/>
    <col min="4114" max="4114" width="3.28515625" hidden="1"/>
    <col min="4115" max="4115" width="7" hidden="1"/>
    <col min="4116" max="4359" width="11.42578125" hidden="1"/>
    <col min="4360" max="4360" width="3.85546875" hidden="1"/>
    <col min="4361" max="4361" width="3.28515625" hidden="1"/>
    <col min="4362" max="4367" width="11.42578125" hidden="1"/>
    <col min="4368" max="4368" width="5.28515625" hidden="1"/>
    <col min="4369" max="4369" width="19.5703125" hidden="1"/>
    <col min="4370" max="4370" width="3.28515625" hidden="1"/>
    <col min="4371" max="4371" width="7" hidden="1"/>
    <col min="4372" max="4615" width="11.42578125" hidden="1"/>
    <col min="4616" max="4616" width="3.85546875" hidden="1"/>
    <col min="4617" max="4617" width="3.28515625" hidden="1"/>
    <col min="4618" max="4623" width="11.42578125" hidden="1"/>
    <col min="4624" max="4624" width="5.28515625" hidden="1"/>
    <col min="4625" max="4625" width="19.5703125" hidden="1"/>
    <col min="4626" max="4626" width="3.28515625" hidden="1"/>
    <col min="4627" max="4627" width="7" hidden="1"/>
    <col min="4628" max="4871" width="11.42578125" hidden="1"/>
    <col min="4872" max="4872" width="3.85546875" hidden="1"/>
    <col min="4873" max="4873" width="3.28515625" hidden="1"/>
    <col min="4874" max="4879" width="11.42578125" hidden="1"/>
    <col min="4880" max="4880" width="5.28515625" hidden="1"/>
    <col min="4881" max="4881" width="19.5703125" hidden="1"/>
    <col min="4882" max="4882" width="3.28515625" hidden="1"/>
    <col min="4883" max="4883" width="7" hidden="1"/>
    <col min="4884" max="5127" width="11.42578125" hidden="1"/>
    <col min="5128" max="5128" width="3.85546875" hidden="1"/>
    <col min="5129" max="5129" width="3.28515625" hidden="1"/>
    <col min="5130" max="5135" width="11.42578125" hidden="1"/>
    <col min="5136" max="5136" width="5.28515625" hidden="1"/>
    <col min="5137" max="5137" width="19.5703125" hidden="1"/>
    <col min="5138" max="5138" width="3.28515625" hidden="1"/>
    <col min="5139" max="5139" width="7" hidden="1"/>
    <col min="5140" max="5383" width="11.42578125" hidden="1"/>
    <col min="5384" max="5384" width="3.85546875" hidden="1"/>
    <col min="5385" max="5385" width="3.28515625" hidden="1"/>
    <col min="5386" max="5391" width="11.42578125" hidden="1"/>
    <col min="5392" max="5392" width="5.28515625" hidden="1"/>
    <col min="5393" max="5393" width="19.5703125" hidden="1"/>
    <col min="5394" max="5394" width="3.28515625" hidden="1"/>
    <col min="5395" max="5395" width="7" hidden="1"/>
    <col min="5396" max="5639" width="11.42578125" hidden="1"/>
    <col min="5640" max="5640" width="3.85546875" hidden="1"/>
    <col min="5641" max="5641" width="3.28515625" hidden="1"/>
    <col min="5642" max="5647" width="11.42578125" hidden="1"/>
    <col min="5648" max="5648" width="5.28515625" hidden="1"/>
    <col min="5649" max="5649" width="19.5703125" hidden="1"/>
    <col min="5650" max="5650" width="3.28515625" hidden="1"/>
    <col min="5651" max="5651" width="7" hidden="1"/>
    <col min="5652" max="5895" width="11.42578125" hidden="1"/>
    <col min="5896" max="5896" width="3.85546875" hidden="1"/>
    <col min="5897" max="5897" width="3.28515625" hidden="1"/>
    <col min="5898" max="5903" width="11.42578125" hidden="1"/>
    <col min="5904" max="5904" width="5.28515625" hidden="1"/>
    <col min="5905" max="5905" width="19.5703125" hidden="1"/>
    <col min="5906" max="5906" width="3.28515625" hidden="1"/>
    <col min="5907" max="5907" width="7" hidden="1"/>
    <col min="5908" max="6151" width="11.42578125" hidden="1"/>
    <col min="6152" max="6152" width="3.85546875" hidden="1"/>
    <col min="6153" max="6153" width="3.28515625" hidden="1"/>
    <col min="6154" max="6159" width="11.42578125" hidden="1"/>
    <col min="6160" max="6160" width="5.28515625" hidden="1"/>
    <col min="6161" max="6161" width="19.5703125" hidden="1"/>
    <col min="6162" max="6162" width="3.28515625" hidden="1"/>
    <col min="6163" max="6163" width="7" hidden="1"/>
    <col min="6164" max="6407" width="11.42578125" hidden="1"/>
    <col min="6408" max="6408" width="3.85546875" hidden="1"/>
    <col min="6409" max="6409" width="3.28515625" hidden="1"/>
    <col min="6410" max="6415" width="11.42578125" hidden="1"/>
    <col min="6416" max="6416" width="5.28515625" hidden="1"/>
    <col min="6417" max="6417" width="19.5703125" hidden="1"/>
    <col min="6418" max="6418" width="3.28515625" hidden="1"/>
    <col min="6419" max="6419" width="7" hidden="1"/>
    <col min="6420" max="6663" width="11.42578125" hidden="1"/>
    <col min="6664" max="6664" width="3.85546875" hidden="1"/>
    <col min="6665" max="6665" width="3.28515625" hidden="1"/>
    <col min="6666" max="6671" width="11.42578125" hidden="1"/>
    <col min="6672" max="6672" width="5.28515625" hidden="1"/>
    <col min="6673" max="6673" width="19.5703125" hidden="1"/>
    <col min="6674" max="6674" width="3.28515625" hidden="1"/>
    <col min="6675" max="6675" width="7" hidden="1"/>
    <col min="6676" max="6919" width="11.42578125" hidden="1"/>
    <col min="6920" max="6920" width="3.85546875" hidden="1"/>
    <col min="6921" max="6921" width="3.28515625" hidden="1"/>
    <col min="6922" max="6927" width="11.42578125" hidden="1"/>
    <col min="6928" max="6928" width="5.28515625" hidden="1"/>
    <col min="6929" max="6929" width="19.5703125" hidden="1"/>
    <col min="6930" max="6930" width="3.28515625" hidden="1"/>
    <col min="6931" max="6931" width="7" hidden="1"/>
    <col min="6932" max="7175" width="11.42578125" hidden="1"/>
    <col min="7176" max="7176" width="3.85546875" hidden="1"/>
    <col min="7177" max="7177" width="3.28515625" hidden="1"/>
    <col min="7178" max="7183" width="11.42578125" hidden="1"/>
    <col min="7184" max="7184" width="5.28515625" hidden="1"/>
    <col min="7185" max="7185" width="19.5703125" hidden="1"/>
    <col min="7186" max="7186" width="3.28515625" hidden="1"/>
    <col min="7187" max="7187" width="7" hidden="1"/>
    <col min="7188" max="7431" width="11.42578125" hidden="1"/>
    <col min="7432" max="7432" width="3.85546875" hidden="1"/>
    <col min="7433" max="7433" width="3.28515625" hidden="1"/>
    <col min="7434" max="7439" width="11.42578125" hidden="1"/>
    <col min="7440" max="7440" width="5.28515625" hidden="1"/>
    <col min="7441" max="7441" width="19.5703125" hidden="1"/>
    <col min="7442" max="7442" width="3.28515625" hidden="1"/>
    <col min="7443" max="7443" width="7" hidden="1"/>
    <col min="7444" max="7687" width="11.42578125" hidden="1"/>
    <col min="7688" max="7688" width="3.85546875" hidden="1"/>
    <col min="7689" max="7689" width="3.28515625" hidden="1"/>
    <col min="7690" max="7695" width="11.42578125" hidden="1"/>
    <col min="7696" max="7696" width="5.28515625" hidden="1"/>
    <col min="7697" max="7697" width="19.5703125" hidden="1"/>
    <col min="7698" max="7698" width="3.28515625" hidden="1"/>
    <col min="7699" max="7699" width="7" hidden="1"/>
    <col min="7700" max="7943" width="11.42578125" hidden="1"/>
    <col min="7944" max="7944" width="3.85546875" hidden="1"/>
    <col min="7945" max="7945" width="3.28515625" hidden="1"/>
    <col min="7946" max="7951" width="11.42578125" hidden="1"/>
    <col min="7952" max="7952" width="5.28515625" hidden="1"/>
    <col min="7953" max="7953" width="19.5703125" hidden="1"/>
    <col min="7954" max="7954" width="3.28515625" hidden="1"/>
    <col min="7955" max="7955" width="7" hidden="1"/>
    <col min="7956" max="8199" width="11.42578125" hidden="1"/>
    <col min="8200" max="8200" width="3.85546875" hidden="1"/>
    <col min="8201" max="8201" width="3.28515625" hidden="1"/>
    <col min="8202" max="8207" width="11.42578125" hidden="1"/>
    <col min="8208" max="8208" width="5.28515625" hidden="1"/>
    <col min="8209" max="8209" width="19.5703125" hidden="1"/>
    <col min="8210" max="8210" width="3.28515625" hidden="1"/>
    <col min="8211" max="8211" width="7" hidden="1"/>
    <col min="8212" max="8455" width="11.42578125" hidden="1"/>
    <col min="8456" max="8456" width="3.85546875" hidden="1"/>
    <col min="8457" max="8457" width="3.28515625" hidden="1"/>
    <col min="8458" max="8463" width="11.42578125" hidden="1"/>
    <col min="8464" max="8464" width="5.28515625" hidden="1"/>
    <col min="8465" max="8465" width="19.5703125" hidden="1"/>
    <col min="8466" max="8466" width="3.28515625" hidden="1"/>
    <col min="8467" max="8467" width="7" hidden="1"/>
    <col min="8468" max="8711" width="11.42578125" hidden="1"/>
    <col min="8712" max="8712" width="3.85546875" hidden="1"/>
    <col min="8713" max="8713" width="3.28515625" hidden="1"/>
    <col min="8714" max="8719" width="11.42578125" hidden="1"/>
    <col min="8720" max="8720" width="5.28515625" hidden="1"/>
    <col min="8721" max="8721" width="19.5703125" hidden="1"/>
    <col min="8722" max="8722" width="3.28515625" hidden="1"/>
    <col min="8723" max="8723" width="7" hidden="1"/>
    <col min="8724" max="8967" width="11.42578125" hidden="1"/>
    <col min="8968" max="8968" width="3.85546875" hidden="1"/>
    <col min="8969" max="8969" width="3.28515625" hidden="1"/>
    <col min="8970" max="8975" width="11.42578125" hidden="1"/>
    <col min="8976" max="8976" width="5.28515625" hidden="1"/>
    <col min="8977" max="8977" width="19.5703125" hidden="1"/>
    <col min="8978" max="8978" width="3.28515625" hidden="1"/>
    <col min="8979" max="8979" width="7" hidden="1"/>
    <col min="8980" max="9223" width="11.42578125" hidden="1"/>
    <col min="9224" max="9224" width="3.85546875" hidden="1"/>
    <col min="9225" max="9225" width="3.28515625" hidden="1"/>
    <col min="9226" max="9231" width="11.42578125" hidden="1"/>
    <col min="9232" max="9232" width="5.28515625" hidden="1"/>
    <col min="9233" max="9233" width="19.5703125" hidden="1"/>
    <col min="9234" max="9234" width="3.28515625" hidden="1"/>
    <col min="9235" max="9235" width="7" hidden="1"/>
    <col min="9236" max="9479" width="11.42578125" hidden="1"/>
    <col min="9480" max="9480" width="3.85546875" hidden="1"/>
    <col min="9481" max="9481" width="3.28515625" hidden="1"/>
    <col min="9482" max="9487" width="11.42578125" hidden="1"/>
    <col min="9488" max="9488" width="5.28515625" hidden="1"/>
    <col min="9489" max="9489" width="19.5703125" hidden="1"/>
    <col min="9490" max="9490" width="3.28515625" hidden="1"/>
    <col min="9491" max="9491" width="7" hidden="1"/>
    <col min="9492" max="9735" width="11.42578125" hidden="1"/>
    <col min="9736" max="9736" width="3.85546875" hidden="1"/>
    <col min="9737" max="9737" width="3.28515625" hidden="1"/>
    <col min="9738" max="9743" width="11.42578125" hidden="1"/>
    <col min="9744" max="9744" width="5.28515625" hidden="1"/>
    <col min="9745" max="9745" width="19.5703125" hidden="1"/>
    <col min="9746" max="9746" width="3.28515625" hidden="1"/>
    <col min="9747" max="9747" width="7" hidden="1"/>
    <col min="9748" max="9991" width="11.42578125" hidden="1"/>
    <col min="9992" max="9992" width="3.85546875" hidden="1"/>
    <col min="9993" max="9993" width="3.28515625" hidden="1"/>
    <col min="9994" max="9999" width="11.42578125" hidden="1"/>
    <col min="10000" max="10000" width="5.28515625" hidden="1"/>
    <col min="10001" max="10001" width="19.5703125" hidden="1"/>
    <col min="10002" max="10002" width="3.28515625" hidden="1"/>
    <col min="10003" max="10003" width="7" hidden="1"/>
    <col min="10004" max="10247" width="11.42578125" hidden="1"/>
    <col min="10248" max="10248" width="3.85546875" hidden="1"/>
    <col min="10249" max="10249" width="3.28515625" hidden="1"/>
    <col min="10250" max="10255" width="11.42578125" hidden="1"/>
    <col min="10256" max="10256" width="5.28515625" hidden="1"/>
    <col min="10257" max="10257" width="19.5703125" hidden="1"/>
    <col min="10258" max="10258" width="3.28515625" hidden="1"/>
    <col min="10259" max="10259" width="7" hidden="1"/>
    <col min="10260" max="10503" width="11.42578125" hidden="1"/>
    <col min="10504" max="10504" width="3.85546875" hidden="1"/>
    <col min="10505" max="10505" width="3.28515625" hidden="1"/>
    <col min="10506" max="10511" width="11.42578125" hidden="1"/>
    <col min="10512" max="10512" width="5.28515625" hidden="1"/>
    <col min="10513" max="10513" width="19.5703125" hidden="1"/>
    <col min="10514" max="10514" width="3.28515625" hidden="1"/>
    <col min="10515" max="10515" width="7" hidden="1"/>
    <col min="10516" max="10759" width="11.42578125" hidden="1"/>
    <col min="10760" max="10760" width="3.85546875" hidden="1"/>
    <col min="10761" max="10761" width="3.28515625" hidden="1"/>
    <col min="10762" max="10767" width="11.42578125" hidden="1"/>
    <col min="10768" max="10768" width="5.28515625" hidden="1"/>
    <col min="10769" max="10769" width="19.5703125" hidden="1"/>
    <col min="10770" max="10770" width="3.28515625" hidden="1"/>
    <col min="10771" max="10771" width="7" hidden="1"/>
    <col min="10772" max="11015" width="11.42578125" hidden="1"/>
    <col min="11016" max="11016" width="3.85546875" hidden="1"/>
    <col min="11017" max="11017" width="3.28515625" hidden="1"/>
    <col min="11018" max="11023" width="11.42578125" hidden="1"/>
    <col min="11024" max="11024" width="5.28515625" hidden="1"/>
    <col min="11025" max="11025" width="19.5703125" hidden="1"/>
    <col min="11026" max="11026" width="3.28515625" hidden="1"/>
    <col min="11027" max="11027" width="7" hidden="1"/>
    <col min="11028" max="11271" width="11.42578125" hidden="1"/>
    <col min="11272" max="11272" width="3.85546875" hidden="1"/>
    <col min="11273" max="11273" width="3.28515625" hidden="1"/>
    <col min="11274" max="11279" width="11.42578125" hidden="1"/>
    <col min="11280" max="11280" width="5.28515625" hidden="1"/>
    <col min="11281" max="11281" width="19.5703125" hidden="1"/>
    <col min="11282" max="11282" width="3.28515625" hidden="1"/>
    <col min="11283" max="11283" width="7" hidden="1"/>
    <col min="11284" max="11527" width="11.42578125" hidden="1"/>
    <col min="11528" max="11528" width="3.85546875" hidden="1"/>
    <col min="11529" max="11529" width="3.28515625" hidden="1"/>
    <col min="11530" max="11535" width="11.42578125" hidden="1"/>
    <col min="11536" max="11536" width="5.28515625" hidden="1"/>
    <col min="11537" max="11537" width="19.5703125" hidden="1"/>
    <col min="11538" max="11538" width="3.28515625" hidden="1"/>
    <col min="11539" max="11539" width="7" hidden="1"/>
    <col min="11540" max="11783" width="11.42578125" hidden="1"/>
    <col min="11784" max="11784" width="3.85546875" hidden="1"/>
    <col min="11785" max="11785" width="3.28515625" hidden="1"/>
    <col min="11786" max="11791" width="11.42578125" hidden="1"/>
    <col min="11792" max="11792" width="5.28515625" hidden="1"/>
    <col min="11793" max="11793" width="19.5703125" hidden="1"/>
    <col min="11794" max="11794" width="3.28515625" hidden="1"/>
    <col min="11795" max="11795" width="7" hidden="1"/>
    <col min="11796" max="12039" width="11.42578125" hidden="1"/>
    <col min="12040" max="12040" width="3.85546875" hidden="1"/>
    <col min="12041" max="12041" width="3.28515625" hidden="1"/>
    <col min="12042" max="12047" width="11.42578125" hidden="1"/>
    <col min="12048" max="12048" width="5.28515625" hidden="1"/>
    <col min="12049" max="12049" width="19.5703125" hidden="1"/>
    <col min="12050" max="12050" width="3.28515625" hidden="1"/>
    <col min="12051" max="12051" width="7" hidden="1"/>
    <col min="12052" max="12295" width="11.42578125" hidden="1"/>
    <col min="12296" max="12296" width="3.85546875" hidden="1"/>
    <col min="12297" max="12297" width="3.28515625" hidden="1"/>
    <col min="12298" max="12303" width="11.42578125" hidden="1"/>
    <col min="12304" max="12304" width="5.28515625" hidden="1"/>
    <col min="12305" max="12305" width="19.5703125" hidden="1"/>
    <col min="12306" max="12306" width="3.28515625" hidden="1"/>
    <col min="12307" max="12307" width="7" hidden="1"/>
    <col min="12308" max="12551" width="11.42578125" hidden="1"/>
    <col min="12552" max="12552" width="3.85546875" hidden="1"/>
    <col min="12553" max="12553" width="3.28515625" hidden="1"/>
    <col min="12554" max="12559" width="11.42578125" hidden="1"/>
    <col min="12560" max="12560" width="5.28515625" hidden="1"/>
    <col min="12561" max="12561" width="19.5703125" hidden="1"/>
    <col min="12562" max="12562" width="3.28515625" hidden="1"/>
    <col min="12563" max="12563" width="7" hidden="1"/>
    <col min="12564" max="12807" width="11.42578125" hidden="1"/>
    <col min="12808" max="12808" width="3.85546875" hidden="1"/>
    <col min="12809" max="12809" width="3.28515625" hidden="1"/>
    <col min="12810" max="12815" width="11.42578125" hidden="1"/>
    <col min="12816" max="12816" width="5.28515625" hidden="1"/>
    <col min="12817" max="12817" width="19.5703125" hidden="1"/>
    <col min="12818" max="12818" width="3.28515625" hidden="1"/>
    <col min="12819" max="12819" width="7" hidden="1"/>
    <col min="12820" max="13063" width="11.42578125" hidden="1"/>
    <col min="13064" max="13064" width="3.85546875" hidden="1"/>
    <col min="13065" max="13065" width="3.28515625" hidden="1"/>
    <col min="13066" max="13071" width="11.42578125" hidden="1"/>
    <col min="13072" max="13072" width="5.28515625" hidden="1"/>
    <col min="13073" max="13073" width="19.5703125" hidden="1"/>
    <col min="13074" max="13074" width="3.28515625" hidden="1"/>
    <col min="13075" max="13075" width="7" hidden="1"/>
    <col min="13076" max="13319" width="11.42578125" hidden="1"/>
    <col min="13320" max="13320" width="3.85546875" hidden="1"/>
    <col min="13321" max="13321" width="3.28515625" hidden="1"/>
    <col min="13322" max="13327" width="11.42578125" hidden="1"/>
    <col min="13328" max="13328" width="5.28515625" hidden="1"/>
    <col min="13329" max="13329" width="19.5703125" hidden="1"/>
    <col min="13330" max="13330" width="3.28515625" hidden="1"/>
    <col min="13331" max="13331" width="7" hidden="1"/>
    <col min="13332" max="13575" width="11.42578125" hidden="1"/>
    <col min="13576" max="13576" width="3.85546875" hidden="1"/>
    <col min="13577" max="13577" width="3.28515625" hidden="1"/>
    <col min="13578" max="13583" width="11.42578125" hidden="1"/>
    <col min="13584" max="13584" width="5.28515625" hidden="1"/>
    <col min="13585" max="13585" width="19.5703125" hidden="1"/>
    <col min="13586" max="13586" width="3.28515625" hidden="1"/>
    <col min="13587" max="13587" width="7" hidden="1"/>
    <col min="13588" max="13831" width="11.42578125" hidden="1"/>
    <col min="13832" max="13832" width="3.85546875" hidden="1"/>
    <col min="13833" max="13833" width="3.28515625" hidden="1"/>
    <col min="13834" max="13839" width="11.42578125" hidden="1"/>
    <col min="13840" max="13840" width="5.28515625" hidden="1"/>
    <col min="13841" max="13841" width="19.5703125" hidden="1"/>
    <col min="13842" max="13842" width="3.28515625" hidden="1"/>
    <col min="13843" max="13843" width="7" hidden="1"/>
    <col min="13844" max="14087" width="11.42578125" hidden="1"/>
    <col min="14088" max="14088" width="3.85546875" hidden="1"/>
    <col min="14089" max="14089" width="3.28515625" hidden="1"/>
    <col min="14090" max="14095" width="11.42578125" hidden="1"/>
    <col min="14096" max="14096" width="5.28515625" hidden="1"/>
    <col min="14097" max="14097" width="19.5703125" hidden="1"/>
    <col min="14098" max="14098" width="3.28515625" hidden="1"/>
    <col min="14099" max="14099" width="7" hidden="1"/>
    <col min="14100" max="14343" width="11.42578125" hidden="1"/>
    <col min="14344" max="14344" width="3.85546875" hidden="1"/>
    <col min="14345" max="14345" width="3.28515625" hidden="1"/>
    <col min="14346" max="14351" width="11.42578125" hidden="1"/>
    <col min="14352" max="14352" width="5.28515625" hidden="1"/>
    <col min="14353" max="14353" width="19.5703125" hidden="1"/>
    <col min="14354" max="14354" width="3.28515625" hidden="1"/>
    <col min="14355" max="14355" width="7" hidden="1"/>
    <col min="14356" max="14599" width="11.42578125" hidden="1"/>
    <col min="14600" max="14600" width="3.85546875" hidden="1"/>
    <col min="14601" max="14601" width="3.28515625" hidden="1"/>
    <col min="14602" max="14607" width="11.42578125" hidden="1"/>
    <col min="14608" max="14608" width="5.28515625" hidden="1"/>
    <col min="14609" max="14609" width="19.5703125" hidden="1"/>
    <col min="14610" max="14610" width="3.28515625" hidden="1"/>
    <col min="14611" max="14611" width="7" hidden="1"/>
    <col min="14612" max="14855" width="11.42578125" hidden="1"/>
    <col min="14856" max="14856" width="3.85546875" hidden="1"/>
    <col min="14857" max="14857" width="3.28515625" hidden="1"/>
    <col min="14858" max="14863" width="11.42578125" hidden="1"/>
    <col min="14864" max="14864" width="5.28515625" hidden="1"/>
    <col min="14865" max="14865" width="19.5703125" hidden="1"/>
    <col min="14866" max="14866" width="3.28515625" hidden="1"/>
    <col min="14867" max="14867" width="7" hidden="1"/>
    <col min="14868" max="15111" width="11.42578125" hidden="1"/>
    <col min="15112" max="15112" width="3.85546875" hidden="1"/>
    <col min="15113" max="15113" width="3.28515625" hidden="1"/>
    <col min="15114" max="15119" width="11.42578125" hidden="1"/>
    <col min="15120" max="15120" width="5.28515625" hidden="1"/>
    <col min="15121" max="15121" width="19.5703125" hidden="1"/>
    <col min="15122" max="15122" width="3.28515625" hidden="1"/>
    <col min="15123" max="15123" width="7" hidden="1"/>
    <col min="15124" max="15367" width="11.42578125" hidden="1"/>
    <col min="15368" max="15368" width="3.85546875" hidden="1"/>
    <col min="15369" max="15369" width="3.28515625" hidden="1"/>
    <col min="15370" max="15375" width="11.42578125" hidden="1"/>
    <col min="15376" max="15376" width="5.28515625" hidden="1"/>
    <col min="15377" max="15377" width="19.5703125" hidden="1"/>
    <col min="15378" max="15378" width="3.28515625" hidden="1"/>
    <col min="15379" max="15379" width="7" hidden="1"/>
    <col min="15380" max="15623" width="11.42578125" hidden="1"/>
    <col min="15624" max="15624" width="3.85546875" hidden="1"/>
    <col min="15625" max="15625" width="3.28515625" hidden="1"/>
    <col min="15626" max="15631" width="11.42578125" hidden="1"/>
    <col min="15632" max="15632" width="5.28515625" hidden="1"/>
    <col min="15633" max="15633" width="19.5703125" hidden="1"/>
    <col min="15634" max="15634" width="3.28515625" hidden="1"/>
    <col min="15635" max="15635" width="7" hidden="1"/>
    <col min="15636" max="15879" width="11.42578125" hidden="1"/>
    <col min="15880" max="15880" width="3.85546875" hidden="1"/>
    <col min="15881" max="15881" width="3.28515625" hidden="1"/>
    <col min="15882" max="15887" width="11.42578125" hidden="1"/>
    <col min="15888" max="15888" width="5.28515625" hidden="1"/>
    <col min="15889" max="15889" width="19.5703125" hidden="1"/>
    <col min="15890" max="15890" width="3.28515625" hidden="1"/>
    <col min="15891" max="15891" width="7" hidden="1"/>
    <col min="15892" max="16135" width="11.42578125" hidden="1"/>
    <col min="16136" max="16136" width="3.85546875" hidden="1"/>
    <col min="16137" max="16137" width="3.28515625" hidden="1"/>
    <col min="16138" max="16143" width="11.42578125" hidden="1"/>
    <col min="16144" max="16144" width="5.28515625" hidden="1"/>
    <col min="16145" max="16145" width="19.5703125" hidden="1"/>
    <col min="16146" max="16146" width="3.28515625" hidden="1"/>
    <col min="16147" max="16147" width="7" hidden="1"/>
    <col min="16148" max="16384" width="11.42578125" hidden="1"/>
  </cols>
  <sheetData>
    <row r="1" spans="2:18" ht="15" hidden="1" customHeight="1" x14ac:dyDescent="0.25"/>
    <row r="2" spans="2:18" ht="15" customHeight="1" x14ac:dyDescent="0.25">
      <c r="Q2" s="10" t="s">
        <v>86</v>
      </c>
    </row>
    <row r="3" spans="2:18" ht="15" customHeight="1" x14ac:dyDescent="0.25">
      <c r="Q3" s="10"/>
    </row>
    <row r="4" spans="2:18" ht="12" customHeight="1" x14ac:dyDescent="0.25"/>
    <row r="5" spans="2:18" ht="1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87</v>
      </c>
      <c r="O5" s="251">
        <f ca="1">TODAY()</f>
        <v>43360</v>
      </c>
      <c r="P5" s="251"/>
      <c r="Q5" s="251"/>
      <c r="R5" s="18"/>
    </row>
    <row r="6" spans="2:18" ht="5.0999999999999996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</row>
    <row r="7" spans="2:18" ht="18.75" x14ac:dyDescent="0.25">
      <c r="B7" s="248" t="str">
        <f>IF(COTIZADOR!G301="","",COTIZADOR!G301)</f>
        <v>MI CASA-ADQUISICIÓN DE VIVIENDA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9"/>
    </row>
    <row r="8" spans="2:18" ht="5.0999999999999996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8"/>
    </row>
    <row r="9" spans="2:18" ht="18.75" x14ac:dyDescent="0.3">
      <c r="B9" s="252" t="s">
        <v>102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</row>
    <row r="10" spans="2:18" ht="5.0999999999999996" customHeight="1" x14ac:dyDescent="0.2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2:18" ht="15" customHeight="1" x14ac:dyDescent="0.25">
      <c r="B11" s="23"/>
      <c r="C11" s="24" t="s">
        <v>49</v>
      </c>
      <c r="D11" s="24"/>
      <c r="E11" s="24"/>
      <c r="F11" s="250" t="s">
        <v>88</v>
      </c>
      <c r="G11" s="250"/>
      <c r="H11" s="250"/>
      <c r="I11" s="250" t="s">
        <v>89</v>
      </c>
      <c r="J11" s="250"/>
      <c r="K11" s="250" t="s">
        <v>72</v>
      </c>
      <c r="L11" s="250"/>
      <c r="M11" s="250"/>
      <c r="N11" s="250" t="s">
        <v>38</v>
      </c>
      <c r="O11" s="250"/>
      <c r="P11" s="24"/>
      <c r="Q11" s="143" t="s">
        <v>90</v>
      </c>
      <c r="R11" s="26"/>
    </row>
    <row r="12" spans="2:18" ht="5.0999999999999996" customHeight="1" x14ac:dyDescent="0.25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4"/>
      <c r="R12" s="26"/>
    </row>
    <row r="13" spans="2:18" ht="15" customHeight="1" x14ac:dyDescent="0.25">
      <c r="B13" s="23"/>
      <c r="C13" s="244">
        <f>COTIZADOR!G303</f>
        <v>1000000</v>
      </c>
      <c r="D13" s="244"/>
      <c r="E13" s="244"/>
      <c r="F13" s="244">
        <f>COTIZADOR!G22</f>
        <v>0</v>
      </c>
      <c r="G13" s="244"/>
      <c r="H13" s="244"/>
      <c r="I13" s="244">
        <f>Q41</f>
        <v>174</v>
      </c>
      <c r="J13" s="244"/>
      <c r="K13" s="257" t="str">
        <f>CONCATENATE(COTIZADOR!G306," años")</f>
        <v>20 años</v>
      </c>
      <c r="L13" s="257"/>
      <c r="M13" s="257"/>
      <c r="N13" s="256">
        <f>COTIZADOR!K301</f>
        <v>0.14499999999999999</v>
      </c>
      <c r="O13" s="256"/>
      <c r="P13" s="49"/>
      <c r="Q13" s="145" t="e">
        <f>IF(COTIZADOR!G304="","",COTIZADOR!K22)</f>
        <v>#DIV/0!</v>
      </c>
      <c r="R13" s="26"/>
    </row>
    <row r="14" spans="2:18" ht="5.0999999999999996" customHeight="1" x14ac:dyDescent="0.25">
      <c r="B14" s="27"/>
      <c r="C14" s="12"/>
      <c r="D14" s="12"/>
      <c r="E14" s="28"/>
      <c r="F14" s="12"/>
      <c r="G14" s="12"/>
      <c r="H14" s="28"/>
      <c r="I14" s="12"/>
      <c r="J14" s="12"/>
      <c r="K14" s="29"/>
      <c r="L14" s="29"/>
      <c r="M14" s="28"/>
      <c r="N14" s="30"/>
      <c r="O14" s="30"/>
      <c r="P14" s="28"/>
      <c r="Q14" s="138"/>
      <c r="R14" s="31"/>
    </row>
    <row r="15" spans="2:18" ht="5.0999999999999996" customHeight="1" x14ac:dyDescent="0.25">
      <c r="B15" s="23"/>
      <c r="C15" s="11"/>
      <c r="D15" s="11"/>
      <c r="E15" s="24"/>
      <c r="F15" s="11"/>
      <c r="G15" s="11"/>
      <c r="H15" s="24"/>
      <c r="I15" s="11"/>
      <c r="J15" s="11"/>
      <c r="K15" s="25"/>
      <c r="L15" s="25"/>
      <c r="M15" s="24"/>
      <c r="N15" s="32"/>
      <c r="O15" s="32"/>
      <c r="P15" s="24"/>
      <c r="Q15" s="33"/>
      <c r="R15" s="26"/>
    </row>
    <row r="16" spans="2:18" ht="15" customHeight="1" x14ac:dyDescent="0.3">
      <c r="B16" s="23"/>
      <c r="C16" s="34" t="s">
        <v>103</v>
      </c>
      <c r="D16" s="11"/>
      <c r="E16" s="24"/>
      <c r="F16" s="11"/>
      <c r="G16" s="11"/>
      <c r="H16" s="24"/>
      <c r="I16" s="11"/>
      <c r="J16" s="11"/>
      <c r="K16" s="25"/>
      <c r="L16" s="25"/>
      <c r="M16" s="24"/>
      <c r="N16" s="32"/>
      <c r="O16" s="32"/>
      <c r="P16" s="24"/>
      <c r="Q16" s="15">
        <f>ROUND(Q41*2.5,0)</f>
        <v>435</v>
      </c>
      <c r="R16" s="26"/>
    </row>
    <row r="17" spans="2:23" ht="5.0999999999999996" customHeight="1" x14ac:dyDescent="0.25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1"/>
    </row>
    <row r="18" spans="2:23" ht="18.75" x14ac:dyDescent="0.3">
      <c r="B18" s="252" t="s">
        <v>91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3"/>
    </row>
    <row r="19" spans="2:23" ht="5.0999999999999996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6"/>
    </row>
    <row r="20" spans="2:23" ht="18.75" x14ac:dyDescent="0.3">
      <c r="B20" s="23"/>
      <c r="C20" s="44" t="s">
        <v>37</v>
      </c>
      <c r="D20" s="4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5">
        <f>COTIZADOR!O322</f>
        <v>1000000</v>
      </c>
      <c r="R20" s="26"/>
      <c r="V20" s="8">
        <v>4115233</v>
      </c>
      <c r="W20">
        <v>100</v>
      </c>
    </row>
    <row r="21" spans="2:23" ht="18.75" x14ac:dyDescent="0.3">
      <c r="B21" s="23"/>
      <c r="C21" s="44" t="str">
        <f>IF(AND(COTIZADOR!J311="SI",B7="LIQUIDEZ HIPOTECARIA"),"Apertura Financiada mas IVA",IF(COTIZADOR!J311="SI","Apertura Financiada",IF(B7="LIQUIDEZ HIPOTECARIA","Apertura mas IVA","Apertura")))</f>
        <v>Apertura</v>
      </c>
      <c r="D21" s="4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5">
        <f>COTIZADOR!G322</f>
        <v>0</v>
      </c>
      <c r="R21" s="26"/>
      <c r="V21" s="8"/>
    </row>
    <row r="22" spans="2:23" ht="18.75" x14ac:dyDescent="0.3">
      <c r="B22" s="23"/>
      <c r="C22" s="44" t="s">
        <v>92</v>
      </c>
      <c r="D22" s="4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5">
        <f>'Tabla de Avaluos'!H28</f>
        <v>2552.00001595</v>
      </c>
      <c r="R22" s="26"/>
      <c r="V22" s="8"/>
    </row>
    <row r="23" spans="2:23" ht="18.75" x14ac:dyDescent="0.3">
      <c r="B23" s="23"/>
      <c r="C23" s="47" t="s">
        <v>101</v>
      </c>
      <c r="D23" s="4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5">
        <f>COTIZADOR!E25</f>
        <v>1000</v>
      </c>
      <c r="R23" s="26"/>
      <c r="V23" s="8"/>
    </row>
    <row r="24" spans="2:23" ht="18.75" x14ac:dyDescent="0.3">
      <c r="B24" s="23"/>
      <c r="C24" s="47" t="s">
        <v>81</v>
      </c>
      <c r="D24" s="4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5">
        <f>COTIZADOR!J25</f>
        <v>90000</v>
      </c>
      <c r="R24" s="26"/>
      <c r="V24" s="8"/>
    </row>
    <row r="25" spans="2:23" ht="18.75" x14ac:dyDescent="0.3">
      <c r="B25" s="23"/>
      <c r="C25" s="48" t="s">
        <v>93</v>
      </c>
      <c r="D25" s="4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6">
        <f>IF(C21="Apertura Financiada",(Q20+Q22+Q23+Q24),IF(C21="Apertura Financiada mas IVA",(Q20+Q22+Q23+Q24),SUM(Q20:Q24)))</f>
        <v>1093552.0000159498</v>
      </c>
      <c r="R25" s="26"/>
      <c r="V25" s="8"/>
    </row>
    <row r="26" spans="2:23" hidden="1" x14ac:dyDescent="0.25">
      <c r="B26" s="23"/>
      <c r="C26" s="36" t="s">
        <v>70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37">
        <v>0</v>
      </c>
      <c r="R26" s="26"/>
      <c r="V26" s="8"/>
    </row>
    <row r="27" spans="2:23" ht="5.0999999999999996" customHeight="1" x14ac:dyDescent="0.25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38"/>
      <c r="R27" s="39"/>
      <c r="V27" s="8">
        <v>3434759.72</v>
      </c>
      <c r="W27" s="9">
        <f>W20*V27/V20</f>
        <v>83.464526066932294</v>
      </c>
    </row>
    <row r="28" spans="2:23" hidden="1" x14ac:dyDescent="0.25">
      <c r="B28" s="23"/>
      <c r="C28" s="24" t="s">
        <v>71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0">
        <f>N13</f>
        <v>0.14499999999999999</v>
      </c>
      <c r="R28" s="39"/>
      <c r="V28" s="8"/>
      <c r="W28" s="9"/>
    </row>
    <row r="29" spans="2:23" hidden="1" x14ac:dyDescent="0.25">
      <c r="B29" s="23"/>
      <c r="C29" s="24" t="s">
        <v>72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1" t="s">
        <v>73</v>
      </c>
      <c r="R29" s="39"/>
      <c r="V29" s="8"/>
      <c r="W29" s="9"/>
    </row>
    <row r="30" spans="2:23" hidden="1" x14ac:dyDescent="0.25">
      <c r="B30" s="23"/>
      <c r="C30" s="36" t="s">
        <v>74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46">
        <f>Q38</f>
        <v>0</v>
      </c>
      <c r="R30" s="39"/>
      <c r="V30" s="8"/>
      <c r="W30" s="9"/>
    </row>
    <row r="31" spans="2:23" hidden="1" x14ac:dyDescent="0.25">
      <c r="B31" s="23"/>
      <c r="C31" s="36" t="s">
        <v>75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46">
        <f>Q40</f>
        <v>0</v>
      </c>
      <c r="R31" s="39"/>
      <c r="V31" s="8"/>
      <c r="W31" s="9"/>
    </row>
    <row r="32" spans="2:23" hidden="1" x14ac:dyDescent="0.25">
      <c r="B32" s="23"/>
      <c r="C32" s="36" t="s">
        <v>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46">
        <f>Q39</f>
        <v>174</v>
      </c>
      <c r="R32" s="39"/>
      <c r="V32" s="8"/>
      <c r="W32" s="9"/>
    </row>
    <row r="33" spans="2:23" hidden="1" x14ac:dyDescent="0.25">
      <c r="B33" s="23"/>
      <c r="C33" s="36" t="s">
        <v>76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37">
        <f>COTIZADOR!G316</f>
        <v>0</v>
      </c>
      <c r="R33" s="39"/>
      <c r="V33" s="8"/>
      <c r="W33" s="9"/>
    </row>
    <row r="34" spans="2:23" hidden="1" x14ac:dyDescent="0.25">
      <c r="B34" s="23"/>
      <c r="C34" s="36" t="s">
        <v>77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42">
        <f>Q30+Q31+Q32+Q33</f>
        <v>174</v>
      </c>
      <c r="R34" s="39"/>
      <c r="V34" s="8"/>
      <c r="W34" s="9"/>
    </row>
    <row r="35" spans="2:23" ht="5.0999999999999996" hidden="1" customHeight="1" x14ac:dyDescent="0.2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1"/>
      <c r="V35" s="8"/>
      <c r="W35" s="9"/>
    </row>
    <row r="36" spans="2:23" ht="18.75" x14ac:dyDescent="0.3">
      <c r="B36" s="252" t="s">
        <v>94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3"/>
      <c r="V36" s="8"/>
      <c r="W36" s="9"/>
    </row>
    <row r="37" spans="2:23" ht="5.0999999999999996" customHeight="1" x14ac:dyDescent="0.25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6"/>
      <c r="V37" s="8"/>
      <c r="W37" s="9"/>
    </row>
    <row r="38" spans="2:23" ht="18.75" x14ac:dyDescent="0.3">
      <c r="B38" s="23"/>
      <c r="C38" s="44" t="str">
        <f>IF(B7="LIQUIDEZ HIPOTECARIA","Erogación IVA incluido","Erogación")</f>
        <v>Erogación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15">
        <f>COTIZADOR!G317</f>
        <v>0</v>
      </c>
      <c r="R38" s="26"/>
      <c r="V38" s="8"/>
      <c r="W38" s="9"/>
    </row>
    <row r="39" spans="2:23" ht="18.75" x14ac:dyDescent="0.3">
      <c r="B39" s="23"/>
      <c r="C39" s="34" t="s">
        <v>96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5">
        <f>COTIZADOR!G318</f>
        <v>174</v>
      </c>
      <c r="R39" s="26"/>
      <c r="V39" s="8"/>
      <c r="W39" s="9"/>
    </row>
    <row r="40" spans="2:23" ht="18.75" x14ac:dyDescent="0.3">
      <c r="B40" s="23"/>
      <c r="C40" s="34" t="s">
        <v>97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5">
        <f>COTIZADOR!G319</f>
        <v>0</v>
      </c>
      <c r="R40" s="26"/>
      <c r="V40" s="8"/>
      <c r="W40" s="9"/>
    </row>
    <row r="41" spans="2:23" ht="18.75" x14ac:dyDescent="0.3">
      <c r="B41" s="23"/>
      <c r="C41" s="34" t="s">
        <v>89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>
        <f>SUM(Q38:Q40)</f>
        <v>174</v>
      </c>
      <c r="R41" s="26"/>
      <c r="V41" s="8"/>
      <c r="W41" s="9"/>
    </row>
    <row r="42" spans="2:23" ht="5.0999999999999996" customHeight="1" x14ac:dyDescent="0.25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6"/>
      <c r="V42" s="8"/>
      <c r="W42" s="9"/>
    </row>
    <row r="43" spans="2:23" hidden="1" x14ac:dyDescent="0.25">
      <c r="B43" s="254" t="s">
        <v>80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5"/>
    </row>
    <row r="44" spans="2:23" ht="8.25" hidden="1" customHeight="1" x14ac:dyDescent="0.25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6"/>
    </row>
    <row r="45" spans="2:23" hidden="1" x14ac:dyDescent="0.25">
      <c r="B45" s="23"/>
      <c r="C45" s="24" t="s">
        <v>81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37">
        <f>COTIZADOR!G324</f>
        <v>90000</v>
      </c>
      <c r="R45" s="26"/>
    </row>
    <row r="46" spans="2:23" hidden="1" x14ac:dyDescent="0.25">
      <c r="B46" s="23"/>
      <c r="C46" s="24" t="s">
        <v>82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43"/>
      <c r="R46" s="26"/>
    </row>
    <row r="47" spans="2:23" hidden="1" x14ac:dyDescent="0.25">
      <c r="B47" s="23"/>
      <c r="C47" s="24" t="s">
        <v>78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37">
        <f>Q45-Q46</f>
        <v>90000</v>
      </c>
      <c r="R47" s="26"/>
    </row>
    <row r="48" spans="2:23" ht="5.0999999999999996" hidden="1" customHeight="1" x14ac:dyDescent="0.25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37"/>
      <c r="R48" s="26"/>
    </row>
    <row r="49" spans="2:18" hidden="1" x14ac:dyDescent="0.25">
      <c r="B49" s="254" t="s">
        <v>83</v>
      </c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5"/>
    </row>
    <row r="50" spans="2:18" ht="5.0999999999999996" hidden="1" customHeight="1" x14ac:dyDescent="0.25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6"/>
    </row>
    <row r="51" spans="2:18" hidden="1" x14ac:dyDescent="0.25">
      <c r="B51" s="23"/>
      <c r="C51" s="24" t="s">
        <v>84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37"/>
      <c r="R51" s="26"/>
    </row>
    <row r="52" spans="2:18" hidden="1" x14ac:dyDescent="0.25">
      <c r="B52" s="23"/>
      <c r="C52" s="24" t="s">
        <v>79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37"/>
      <c r="R52" s="39"/>
    </row>
    <row r="53" spans="2:18" hidden="1" x14ac:dyDescent="0.25">
      <c r="B53" s="23"/>
      <c r="C53" s="24" t="s">
        <v>82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3"/>
      <c r="R53" s="26"/>
    </row>
    <row r="54" spans="2:18" hidden="1" x14ac:dyDescent="0.25">
      <c r="B54" s="23"/>
      <c r="C54" s="24" t="s">
        <v>85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42">
        <f>Q51-Q52-Q53</f>
        <v>0</v>
      </c>
      <c r="R54" s="26"/>
    </row>
    <row r="55" spans="2:18" ht="5.0999999999999996" customHeight="1" x14ac:dyDescent="0.25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31"/>
    </row>
    <row r="56" spans="2:18" ht="5.0999999999999996" customHeight="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 ht="15" customHeight="1" x14ac:dyDescent="0.25">
      <c r="B57" s="18"/>
      <c r="C57" s="247" t="s">
        <v>107</v>
      </c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18"/>
    </row>
    <row r="58" spans="2:18" ht="15" customHeight="1" x14ac:dyDescent="0.25">
      <c r="B58" s="18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18"/>
    </row>
    <row r="59" spans="2:18" ht="5.0999999999999996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ht="5.0999999999999996" customHeight="1" x14ac:dyDescent="0.25">
      <c r="B60" s="18"/>
      <c r="C60" s="247" t="str">
        <f>CONCATENATE("Gasto Notarial estimado del ",TEXT(COTIZADOR!G323,"0.0%")," sobre avalúo, sujeto al importe proporcionado por el Notario.")</f>
        <v>Gasto Notarial estimado del 9.0% sobre avalúo, sujeto al importe proporcionado por el Notario.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18"/>
    </row>
    <row r="61" spans="2:18" x14ac:dyDescent="0.25">
      <c r="B61" s="18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18"/>
    </row>
    <row r="62" spans="2:18" ht="5.0999999999999996" customHeight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ht="15" customHeight="1" x14ac:dyDescent="0.25">
      <c r="C63" s="247" t="s">
        <v>110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8" ht="5.0999999999999996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3:19" ht="15" customHeight="1" x14ac:dyDescent="0.25">
      <c r="C65" s="245" t="s">
        <v>117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17">
        <f ca="1">NOW()</f>
        <v>43360.575606944447</v>
      </c>
    </row>
    <row r="66" spans="3:19" ht="15" customHeight="1" x14ac:dyDescent="0.25">
      <c r="C66" s="242" t="s">
        <v>118</v>
      </c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</row>
    <row r="67" spans="3:19" ht="15" customHeight="1" x14ac:dyDescent="0.25">
      <c r="C67" s="50"/>
      <c r="D67" s="246" t="s">
        <v>119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3:19" ht="15" customHeight="1" x14ac:dyDescent="0.25">
      <c r="C68" s="242" t="s">
        <v>120</v>
      </c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</row>
    <row r="69" spans="3:19" ht="15" customHeight="1" x14ac:dyDescent="0.25">
      <c r="C69" s="50"/>
      <c r="D69" s="241" t="s">
        <v>128</v>
      </c>
      <c r="E69" s="241" t="s">
        <v>121</v>
      </c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</row>
    <row r="70" spans="3:19" ht="15" customHeight="1" x14ac:dyDescent="0.25">
      <c r="C70" s="242" t="s">
        <v>122</v>
      </c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</row>
    <row r="71" spans="3:19" ht="15" customHeight="1" x14ac:dyDescent="0.25">
      <c r="C71" s="50"/>
      <c r="D71" s="243" t="s">
        <v>127</v>
      </c>
      <c r="E71" s="243" t="s">
        <v>123</v>
      </c>
      <c r="F71" s="243"/>
      <c r="G71" s="243"/>
      <c r="H71" s="243"/>
      <c r="I71" s="243"/>
      <c r="J71" s="243"/>
      <c r="K71" s="243"/>
      <c r="L71" s="243"/>
      <c r="M71" s="243">
        <v>6</v>
      </c>
      <c r="N71" s="243"/>
      <c r="O71" s="243"/>
      <c r="P71" s="243"/>
      <c r="Q71" s="243"/>
      <c r="R71" s="243"/>
    </row>
    <row r="72" spans="3:19" ht="15" customHeight="1" x14ac:dyDescent="0.25">
      <c r="C72" s="242" t="s">
        <v>124</v>
      </c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</row>
    <row r="73" spans="3:19" ht="15" customHeight="1" x14ac:dyDescent="0.25">
      <c r="C73" s="240" t="s">
        <v>125</v>
      </c>
      <c r="D73" s="240"/>
      <c r="E73" s="240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4"/>
    </row>
    <row r="74" spans="3:19" ht="15" customHeight="1" x14ac:dyDescent="0.25">
      <c r="C74" s="240" t="s">
        <v>126</v>
      </c>
      <c r="D74" s="240"/>
      <c r="E74" s="240"/>
      <c r="F74" s="215"/>
      <c r="G74" s="215"/>
      <c r="H74" s="215"/>
      <c r="I74" s="215"/>
      <c r="J74" s="215"/>
      <c r="K74" s="215"/>
      <c r="L74" s="215"/>
      <c r="M74" s="216"/>
      <c r="N74" s="216"/>
      <c r="O74" s="216"/>
      <c r="P74" s="216"/>
      <c r="Q74" s="216"/>
      <c r="R74" s="214"/>
    </row>
    <row r="75" spans="3:19" ht="5.0999999999999996" customHeight="1" x14ac:dyDescent="0.25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</sheetData>
  <sheetProtection password="C878" sheet="1" objects="1" scenarios="1"/>
  <mergeCells count="29">
    <mergeCell ref="B7:R7"/>
    <mergeCell ref="I11:J11"/>
    <mergeCell ref="N11:O11"/>
    <mergeCell ref="O5:Q5"/>
    <mergeCell ref="C57:Q58"/>
    <mergeCell ref="B9:R9"/>
    <mergeCell ref="B18:R18"/>
    <mergeCell ref="B36:R36"/>
    <mergeCell ref="B43:R43"/>
    <mergeCell ref="B49:R49"/>
    <mergeCell ref="F11:H11"/>
    <mergeCell ref="F13:H13"/>
    <mergeCell ref="I13:J13"/>
    <mergeCell ref="N13:O13"/>
    <mergeCell ref="K11:M11"/>
    <mergeCell ref="K13:M13"/>
    <mergeCell ref="C13:E13"/>
    <mergeCell ref="C65:R65"/>
    <mergeCell ref="C66:R66"/>
    <mergeCell ref="D67:R67"/>
    <mergeCell ref="C68:R68"/>
    <mergeCell ref="C60:Q61"/>
    <mergeCell ref="C63:Q63"/>
    <mergeCell ref="C73:E73"/>
    <mergeCell ref="C74:E74"/>
    <mergeCell ref="D69:R69"/>
    <mergeCell ref="C70:R70"/>
    <mergeCell ref="D71:R71"/>
    <mergeCell ref="C72:R72"/>
  </mergeCells>
  <pageMargins left="0.25" right="0.25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9"/>
  <sheetViews>
    <sheetView showGridLines="0" showRowColHeaders="0" topLeftCell="A6" workbookViewId="0">
      <selection activeCell="H18" sqref="H18"/>
    </sheetView>
  </sheetViews>
  <sheetFormatPr baseColWidth="10" defaultColWidth="0" defaultRowHeight="15" zeroHeight="1" x14ac:dyDescent="0.25"/>
  <cols>
    <col min="1" max="2" width="15.28515625" bestFit="1" customWidth="1"/>
    <col min="3" max="3" width="21.7109375" customWidth="1"/>
    <col min="4" max="4" width="24" customWidth="1"/>
    <col min="5" max="5" width="16.7109375" customWidth="1"/>
    <col min="6" max="6" width="20.42578125" customWidth="1"/>
    <col min="7" max="7" width="0" hidden="1" customWidth="1"/>
    <col min="8" max="8" width="19" customWidth="1"/>
    <col min="9" max="9" width="14.42578125" bestFit="1" customWidth="1"/>
    <col min="10" max="16384" width="11.42578125" hidden="1"/>
  </cols>
  <sheetData>
    <row r="1" spans="1:9" ht="45" x14ac:dyDescent="0.25">
      <c r="A1" s="4" t="s">
        <v>40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0</v>
      </c>
      <c r="H1" s="4" t="s">
        <v>106</v>
      </c>
      <c r="I1" s="13">
        <f>COTIZADOR!G303</f>
        <v>1000000</v>
      </c>
    </row>
    <row r="2" spans="1:9" ht="15.75" x14ac:dyDescent="0.25">
      <c r="A2" s="5">
        <v>0</v>
      </c>
      <c r="B2" s="5">
        <v>600000</v>
      </c>
      <c r="D2" s="5">
        <v>1800</v>
      </c>
      <c r="E2" s="5">
        <v>288</v>
      </c>
      <c r="F2" s="5">
        <v>2088</v>
      </c>
      <c r="G2" t="str">
        <f>IF(COTIZADOR!$E$22&lt;'Tabla de Avaluos'!B2,'Tabla de Avaluos'!B2,"")</f>
        <v/>
      </c>
      <c r="H2" s="5" t="str">
        <f>IF($I$1&lt;=B2,F2,"")</f>
        <v/>
      </c>
    </row>
    <row r="3" spans="1:9" ht="15.75" x14ac:dyDescent="0.25">
      <c r="A3" s="5">
        <v>600000.01</v>
      </c>
      <c r="B3" s="5">
        <v>1000000</v>
      </c>
      <c r="C3" s="6">
        <v>2.75</v>
      </c>
      <c r="D3" s="5">
        <v>2200.0000137500001</v>
      </c>
      <c r="E3" s="5">
        <v>352.00000220000004</v>
      </c>
      <c r="F3" s="5">
        <v>2552.00001595</v>
      </c>
      <c r="G3" t="str">
        <f>IF(COTIZADOR!$E$22&lt;'Tabla de Avaluos'!B3,'Tabla de Avaluos'!F3,IF(COTIZADOR!$E$22&lt;'Tabla de Avaluos'!A3,'Tabla de Avaluos'!F3,""))</f>
        <v/>
      </c>
      <c r="H3" s="5">
        <f>IF(AND($I$1&lt;=B3,$I$1&gt;A3),F3,"")</f>
        <v>2552.00001595</v>
      </c>
    </row>
    <row r="4" spans="1:9" ht="15.75" x14ac:dyDescent="0.25">
      <c r="A4" s="5">
        <v>1000000.01</v>
      </c>
      <c r="B4" s="5">
        <v>1500000</v>
      </c>
      <c r="C4" s="6">
        <v>2.2400000000000002</v>
      </c>
      <c r="D4" s="5">
        <v>2800.0000112000002</v>
      </c>
      <c r="E4" s="5">
        <v>448.00000179200003</v>
      </c>
      <c r="F4" s="5">
        <v>3248.0000129920004</v>
      </c>
      <c r="G4">
        <f>IF(COTIZADOR!$E$22&gt;='Tabla de Avaluos'!B4,"",IF(COTIZADOR!$E$22&lt;='Tabla de Avaluos'!A4,'Tabla de Avaluos'!F4,""))</f>
        <v>3248.0000129920004</v>
      </c>
      <c r="H4" s="5" t="str">
        <f t="shared" ref="H4:H27" si="0">IF(AND($I$1&lt;=B4,$I$1&gt;A4),F4,"")</f>
        <v/>
      </c>
    </row>
    <row r="5" spans="1:9" ht="15.75" x14ac:dyDescent="0.25">
      <c r="A5" s="5">
        <v>1500000.01</v>
      </c>
      <c r="B5" s="5">
        <v>2000000</v>
      </c>
      <c r="C5" s="6">
        <v>2.11</v>
      </c>
      <c r="D5" s="5">
        <v>3700</v>
      </c>
      <c r="E5" s="5">
        <v>592</v>
      </c>
      <c r="F5" s="5">
        <v>4292</v>
      </c>
      <c r="G5" t="str">
        <f>IF(COTIZADOR!$E$22&lt;'Tabla de Avaluos'!B5,"",IF(COTIZADOR!$E$22&lt;'Tabla de Avaluos'!A5,'Tabla de Avaluos'!F5,""))</f>
        <v/>
      </c>
      <c r="H5" s="5" t="str">
        <f t="shared" si="0"/>
        <v/>
      </c>
    </row>
    <row r="6" spans="1:9" ht="15.75" x14ac:dyDescent="0.25">
      <c r="A6" s="5">
        <v>2000000.01</v>
      </c>
      <c r="B6" s="5">
        <v>2500000</v>
      </c>
      <c r="C6" s="6">
        <v>2.09</v>
      </c>
      <c r="D6" s="5">
        <v>4700</v>
      </c>
      <c r="E6" s="5">
        <v>752</v>
      </c>
      <c r="F6" s="5">
        <v>5452</v>
      </c>
      <c r="G6">
        <f>IF(COTIZADOR!$E$22&lt;'Tabla de Avaluos'!B6,'Tabla de Avaluos'!F6,IF(COTIZADOR!$E$22&lt;'Tabla de Avaluos'!A6,'Tabla de Avaluos'!F6,""))</f>
        <v>5452</v>
      </c>
      <c r="H6" s="5" t="str">
        <f t="shared" si="0"/>
        <v/>
      </c>
    </row>
    <row r="7" spans="1:9" ht="15.75" x14ac:dyDescent="0.25">
      <c r="A7" s="5">
        <v>2500000.0099999998</v>
      </c>
      <c r="B7" s="5">
        <v>3000000</v>
      </c>
      <c r="C7" s="6">
        <v>1.96</v>
      </c>
      <c r="D7" s="5">
        <v>5400</v>
      </c>
      <c r="E7" s="5">
        <v>864</v>
      </c>
      <c r="F7" s="5">
        <v>6264</v>
      </c>
      <c r="G7">
        <f>IF(COTIZADOR!$E$22&lt;'Tabla de Avaluos'!B7,'Tabla de Avaluos'!F7,IF(COTIZADOR!$E$22&lt;'Tabla de Avaluos'!A7,'Tabla de Avaluos'!F7,""))</f>
        <v>6264</v>
      </c>
      <c r="H7" s="5" t="str">
        <f t="shared" si="0"/>
        <v/>
      </c>
    </row>
    <row r="8" spans="1:9" ht="15.75" x14ac:dyDescent="0.25">
      <c r="A8" s="5">
        <v>3000000.01</v>
      </c>
      <c r="B8" s="5">
        <v>3500000</v>
      </c>
      <c r="C8" s="6">
        <v>1.91</v>
      </c>
      <c r="D8" s="5">
        <v>6200</v>
      </c>
      <c r="E8" s="5">
        <v>992</v>
      </c>
      <c r="F8" s="5">
        <v>7192</v>
      </c>
      <c r="G8">
        <f>IF(COTIZADOR!$E$22&lt;'Tabla de Avaluos'!B8,'Tabla de Avaluos'!F8,IF(COTIZADOR!$E$22&lt;'Tabla de Avaluos'!A8,'Tabla de Avaluos'!F8,""))</f>
        <v>7192</v>
      </c>
      <c r="H8" s="5" t="str">
        <f t="shared" si="0"/>
        <v/>
      </c>
    </row>
    <row r="9" spans="1:9" ht="15.75" x14ac:dyDescent="0.25">
      <c r="A9" s="5">
        <v>3500000.01</v>
      </c>
      <c r="B9" s="5">
        <v>4000000</v>
      </c>
      <c r="C9" s="6">
        <v>1.89</v>
      </c>
      <c r="D9" s="5">
        <v>7100</v>
      </c>
      <c r="E9" s="5">
        <v>1136</v>
      </c>
      <c r="F9" s="5">
        <v>8236</v>
      </c>
      <c r="G9">
        <f>IF(COTIZADOR!$E$22&lt;'Tabla de Avaluos'!B9,'Tabla de Avaluos'!F9,IF(COTIZADOR!$E$22&lt;'Tabla de Avaluos'!A9,'Tabla de Avaluos'!F9,""))</f>
        <v>8236</v>
      </c>
      <c r="H9" s="5" t="str">
        <f t="shared" si="0"/>
        <v/>
      </c>
    </row>
    <row r="10" spans="1:9" ht="15.75" x14ac:dyDescent="0.25">
      <c r="A10" s="5">
        <v>4000000.01</v>
      </c>
      <c r="B10" s="5">
        <v>4500000</v>
      </c>
      <c r="C10" s="6">
        <v>1.91</v>
      </c>
      <c r="D10" s="5">
        <v>8100</v>
      </c>
      <c r="E10" s="5">
        <v>1296</v>
      </c>
      <c r="F10" s="5">
        <v>9396</v>
      </c>
      <c r="H10" s="5" t="str">
        <f t="shared" si="0"/>
        <v/>
      </c>
    </row>
    <row r="11" spans="1:9" ht="15.75" x14ac:dyDescent="0.25">
      <c r="A11" s="5">
        <v>4500000.01</v>
      </c>
      <c r="B11" s="5">
        <v>5000000</v>
      </c>
      <c r="C11" s="6">
        <v>1.92</v>
      </c>
      <c r="D11" s="5">
        <v>9100</v>
      </c>
      <c r="E11" s="5">
        <v>1456</v>
      </c>
      <c r="F11" s="5">
        <v>10556</v>
      </c>
      <c r="H11" s="5" t="str">
        <f t="shared" si="0"/>
        <v/>
      </c>
    </row>
    <row r="12" spans="1:9" ht="15.75" x14ac:dyDescent="0.25">
      <c r="A12" s="5">
        <v>5000000.01</v>
      </c>
      <c r="B12" s="5">
        <v>5500000</v>
      </c>
      <c r="C12" s="6">
        <v>1.79</v>
      </c>
      <c r="D12" s="5">
        <v>9400</v>
      </c>
      <c r="E12" s="5">
        <v>1504</v>
      </c>
      <c r="F12" s="5">
        <v>10904</v>
      </c>
      <c r="H12" s="5" t="str">
        <f t="shared" si="0"/>
        <v/>
      </c>
    </row>
    <row r="13" spans="1:9" ht="15.75" x14ac:dyDescent="0.25">
      <c r="A13" s="5">
        <v>5500000.0099999998</v>
      </c>
      <c r="B13" s="5">
        <v>6000000</v>
      </c>
      <c r="C13" s="6">
        <v>1.74</v>
      </c>
      <c r="D13" s="5">
        <v>10000</v>
      </c>
      <c r="E13" s="5">
        <v>1600</v>
      </c>
      <c r="F13" s="5">
        <v>11600</v>
      </c>
      <c r="H13" s="5" t="str">
        <f t="shared" si="0"/>
        <v/>
      </c>
    </row>
    <row r="14" spans="1:9" ht="15.75" x14ac:dyDescent="0.25">
      <c r="A14" s="5">
        <v>6000000.0099999998</v>
      </c>
      <c r="B14" s="5">
        <v>6500000</v>
      </c>
      <c r="C14" s="6">
        <v>1.71</v>
      </c>
      <c r="D14" s="5">
        <v>10700</v>
      </c>
      <c r="E14" s="5">
        <v>1712</v>
      </c>
      <c r="F14" s="5">
        <v>12412</v>
      </c>
      <c r="H14" s="5" t="str">
        <f t="shared" si="0"/>
        <v/>
      </c>
    </row>
    <row r="15" spans="1:9" ht="15.75" x14ac:dyDescent="0.25">
      <c r="A15" s="5">
        <v>6500000.0099999998</v>
      </c>
      <c r="B15" s="5">
        <v>7000000</v>
      </c>
      <c r="C15" s="6">
        <v>1.7</v>
      </c>
      <c r="D15" s="5">
        <v>11500</v>
      </c>
      <c r="E15" s="5">
        <v>1840</v>
      </c>
      <c r="F15" s="5">
        <v>13340</v>
      </c>
      <c r="H15" s="5" t="str">
        <f t="shared" si="0"/>
        <v/>
      </c>
    </row>
    <row r="16" spans="1:9" ht="15.75" x14ac:dyDescent="0.25">
      <c r="A16" s="5">
        <v>7000000.0099999998</v>
      </c>
      <c r="B16" s="5">
        <v>7500000</v>
      </c>
      <c r="C16" s="6">
        <v>1.7</v>
      </c>
      <c r="D16" s="5">
        <v>12300</v>
      </c>
      <c r="E16" s="5">
        <v>1968</v>
      </c>
      <c r="F16" s="5">
        <v>14268</v>
      </c>
      <c r="H16" s="5" t="str">
        <f t="shared" si="0"/>
        <v/>
      </c>
    </row>
    <row r="17" spans="1:8" ht="15.75" x14ac:dyDescent="0.25">
      <c r="A17" s="5">
        <v>7500000.0099999998</v>
      </c>
      <c r="B17" s="5">
        <v>8000000</v>
      </c>
      <c r="C17" s="7">
        <v>1.64</v>
      </c>
      <c r="D17" s="5">
        <v>12700</v>
      </c>
      <c r="E17" s="5">
        <v>2032</v>
      </c>
      <c r="F17" s="5">
        <v>14732</v>
      </c>
      <c r="H17" s="5" t="str">
        <f t="shared" si="0"/>
        <v/>
      </c>
    </row>
    <row r="18" spans="1:8" ht="15.75" x14ac:dyDescent="0.25">
      <c r="A18" s="5">
        <v>8000000.0099999998</v>
      </c>
      <c r="B18" s="5">
        <v>8500000</v>
      </c>
      <c r="C18" s="7">
        <v>1.56</v>
      </c>
      <c r="D18" s="5">
        <v>12900</v>
      </c>
      <c r="E18" s="5">
        <v>2064</v>
      </c>
      <c r="F18" s="5">
        <v>14964</v>
      </c>
      <c r="H18" s="5" t="str">
        <f t="shared" si="0"/>
        <v/>
      </c>
    </row>
    <row r="19" spans="1:8" ht="15.75" x14ac:dyDescent="0.25">
      <c r="A19" s="5">
        <v>8500000.0099999998</v>
      </c>
      <c r="B19" s="5">
        <v>9000000</v>
      </c>
      <c r="C19" s="7">
        <v>1.51</v>
      </c>
      <c r="D19" s="5">
        <v>13200</v>
      </c>
      <c r="E19" s="5">
        <v>2112</v>
      </c>
      <c r="F19" s="5">
        <v>15312</v>
      </c>
      <c r="H19" s="5" t="str">
        <f t="shared" si="0"/>
        <v/>
      </c>
    </row>
    <row r="20" spans="1:8" ht="15.75" x14ac:dyDescent="0.25">
      <c r="A20" s="5">
        <v>9000000.0099999998</v>
      </c>
      <c r="B20" s="5">
        <v>9500000</v>
      </c>
      <c r="C20" s="7">
        <v>1.48</v>
      </c>
      <c r="D20" s="5">
        <v>13700</v>
      </c>
      <c r="E20" s="5">
        <v>2192</v>
      </c>
      <c r="F20" s="5">
        <v>15892</v>
      </c>
      <c r="H20" s="5" t="str">
        <f t="shared" si="0"/>
        <v/>
      </c>
    </row>
    <row r="21" spans="1:8" ht="15.75" x14ac:dyDescent="0.25">
      <c r="A21" s="5">
        <v>9500000.0099999998</v>
      </c>
      <c r="B21" s="5">
        <v>10000000</v>
      </c>
      <c r="C21" s="7">
        <v>1.48</v>
      </c>
      <c r="D21" s="5">
        <v>14400</v>
      </c>
      <c r="E21" s="5">
        <v>2304</v>
      </c>
      <c r="F21" s="5">
        <v>16704</v>
      </c>
      <c r="H21" s="5" t="str">
        <f t="shared" si="0"/>
        <v/>
      </c>
    </row>
    <row r="22" spans="1:8" ht="15.75" x14ac:dyDescent="0.25">
      <c r="A22" s="5">
        <v>10000000.01</v>
      </c>
      <c r="B22" s="5">
        <v>10500000</v>
      </c>
      <c r="C22" s="7">
        <v>1.42</v>
      </c>
      <c r="D22" s="5">
        <v>14600</v>
      </c>
      <c r="E22" s="5">
        <v>2336</v>
      </c>
      <c r="F22" s="5">
        <v>16936</v>
      </c>
      <c r="H22" s="5" t="str">
        <f t="shared" si="0"/>
        <v/>
      </c>
    </row>
    <row r="23" spans="1:8" ht="15.75" x14ac:dyDescent="0.25">
      <c r="A23" s="5">
        <v>10500000.01</v>
      </c>
      <c r="B23" s="5">
        <v>11000000</v>
      </c>
      <c r="C23" s="7">
        <v>1.38</v>
      </c>
      <c r="D23" s="5">
        <v>14800</v>
      </c>
      <c r="E23" s="5">
        <v>2368</v>
      </c>
      <c r="F23" s="5">
        <v>17168</v>
      </c>
      <c r="H23" s="5" t="str">
        <f t="shared" si="0"/>
        <v/>
      </c>
    </row>
    <row r="24" spans="1:8" ht="15.75" x14ac:dyDescent="0.25">
      <c r="A24" s="5">
        <v>11000000.01</v>
      </c>
      <c r="B24" s="5">
        <v>11500000</v>
      </c>
      <c r="C24" s="7">
        <v>1.33</v>
      </c>
      <c r="D24" s="5">
        <v>15000</v>
      </c>
      <c r="E24" s="5">
        <v>2400</v>
      </c>
      <c r="F24" s="5">
        <v>17400</v>
      </c>
      <c r="H24" s="5" t="str">
        <f t="shared" si="0"/>
        <v/>
      </c>
    </row>
    <row r="25" spans="1:8" ht="15.75" x14ac:dyDescent="0.25">
      <c r="A25" s="5">
        <v>11500000.01</v>
      </c>
      <c r="B25" s="5">
        <v>12000000</v>
      </c>
      <c r="C25" s="7">
        <v>1.29</v>
      </c>
      <c r="D25" s="5">
        <v>15200</v>
      </c>
      <c r="E25" s="5">
        <v>2432</v>
      </c>
      <c r="F25" s="5">
        <v>17632</v>
      </c>
      <c r="H25" s="5" t="str">
        <f t="shared" si="0"/>
        <v/>
      </c>
    </row>
    <row r="26" spans="1:8" ht="15.75" x14ac:dyDescent="0.25">
      <c r="A26" s="5">
        <v>12000000.01</v>
      </c>
      <c r="B26" s="5">
        <v>12500000</v>
      </c>
      <c r="C26" s="7">
        <v>1.26</v>
      </c>
      <c r="D26" s="5">
        <v>15400</v>
      </c>
      <c r="E26" s="5">
        <v>2464</v>
      </c>
      <c r="F26" s="5">
        <v>17864</v>
      </c>
      <c r="H26" s="5" t="str">
        <f t="shared" si="0"/>
        <v/>
      </c>
    </row>
    <row r="27" spans="1:8" ht="15.75" x14ac:dyDescent="0.25">
      <c r="A27" s="5">
        <v>12500000.01</v>
      </c>
      <c r="B27" s="5" t="s">
        <v>45</v>
      </c>
      <c r="C27" s="7" t="s">
        <v>46</v>
      </c>
      <c r="D27" s="7" t="s">
        <v>46</v>
      </c>
      <c r="E27" s="7" t="s">
        <v>46</v>
      </c>
      <c r="F27" s="7" t="s">
        <v>46</v>
      </c>
      <c r="H27" s="5" t="str">
        <f t="shared" si="0"/>
        <v/>
      </c>
    </row>
    <row r="28" spans="1:8" x14ac:dyDescent="0.25">
      <c r="H28" s="14">
        <f>SUM(H2:H27)</f>
        <v>2552.00001595</v>
      </c>
    </row>
    <row r="29" spans="1:8" x14ac:dyDescent="0.25"/>
  </sheetData>
  <sheetProtection password="C87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showGridLines="0" showRowColHeaders="0" showZeros="0" workbookViewId="0">
      <pane ySplit="4" topLeftCell="A5" activePane="bottomLeft" state="frozen"/>
      <selection activeCell="AD8" sqref="AD1:AD1048576"/>
      <selection pane="bottomLeft" activeCell="B1" sqref="B1"/>
    </sheetView>
  </sheetViews>
  <sheetFormatPr baseColWidth="10" defaultColWidth="0" defaultRowHeight="15" zeroHeight="1" x14ac:dyDescent="0.25"/>
  <cols>
    <col min="1" max="1" width="20.7109375" customWidth="1"/>
    <col min="2" max="2" width="16.7109375" customWidth="1"/>
    <col min="3" max="10" width="16.7109375" style="68" customWidth="1"/>
    <col min="11" max="11" width="20.7109375" customWidth="1"/>
    <col min="12" max="16384" width="11.42578125" hidden="1"/>
  </cols>
  <sheetData>
    <row r="1" spans="1:11" ht="36" x14ac:dyDescent="0.25">
      <c r="A1" s="18"/>
      <c r="B1" s="71" t="s">
        <v>17</v>
      </c>
      <c r="C1" s="72" t="s">
        <v>5</v>
      </c>
      <c r="D1" s="72" t="s">
        <v>6</v>
      </c>
      <c r="E1" s="72" t="s">
        <v>105</v>
      </c>
      <c r="F1" s="72" t="s">
        <v>7</v>
      </c>
      <c r="G1" s="72" t="s">
        <v>8</v>
      </c>
      <c r="H1" s="72" t="s">
        <v>10</v>
      </c>
      <c r="I1" s="72" t="s">
        <v>1</v>
      </c>
      <c r="J1" s="73" t="s">
        <v>9</v>
      </c>
      <c r="K1" s="18"/>
    </row>
    <row r="2" spans="1:11" s="2" customFormat="1" ht="0.95" customHeight="1" thickBot="1" x14ac:dyDescent="0.3">
      <c r="A2" s="130"/>
      <c r="B2" s="74"/>
      <c r="C2" s="75"/>
      <c r="D2" s="75"/>
      <c r="E2" s="75"/>
      <c r="F2" s="75"/>
      <c r="G2" s="75"/>
      <c r="H2" s="75"/>
      <c r="I2" s="75"/>
      <c r="J2" s="76"/>
      <c r="K2" s="130"/>
    </row>
    <row r="3" spans="1:11" ht="17.25" thickTop="1" thickBot="1" x14ac:dyDescent="0.3">
      <c r="A3" s="18"/>
      <c r="B3" s="131" t="str">
        <f>COTIZADOR!E276</f>
        <v>TOTAL</v>
      </c>
      <c r="C3" s="132"/>
      <c r="D3" s="132">
        <f>COTIZADOR!G276</f>
        <v>0</v>
      </c>
      <c r="E3" s="132"/>
      <c r="F3" s="132">
        <f>COTIZADOR!H276</f>
        <v>0</v>
      </c>
      <c r="G3" s="132">
        <f>COTIZADOR!I276</f>
        <v>0</v>
      </c>
      <c r="H3" s="132">
        <f>COTIZADOR!J276</f>
        <v>0</v>
      </c>
      <c r="I3" s="132">
        <f>COTIZADOR!K276</f>
        <v>41760</v>
      </c>
      <c r="J3" s="133">
        <f>COTIZADOR!L276</f>
        <v>41760</v>
      </c>
      <c r="K3" s="18"/>
    </row>
    <row r="4" spans="1:11" s="2" customFormat="1" ht="0.95" customHeight="1" thickTop="1" x14ac:dyDescent="0.25">
      <c r="A4" s="130"/>
      <c r="B4" s="74"/>
      <c r="C4" s="75"/>
      <c r="D4" s="75"/>
      <c r="E4" s="75"/>
      <c r="F4" s="75"/>
      <c r="G4" s="75"/>
      <c r="H4" s="75"/>
      <c r="I4" s="75"/>
      <c r="J4" s="76"/>
      <c r="K4" s="130"/>
    </row>
    <row r="5" spans="1:11" s="69" customFormat="1" x14ac:dyDescent="0.25">
      <c r="A5" s="134"/>
      <c r="B5" s="135">
        <f>COTIZADOR!E36</f>
        <v>1</v>
      </c>
      <c r="C5" s="136">
        <f>COTIZADOR!F36</f>
        <v>0</v>
      </c>
      <c r="D5" s="136">
        <f>COTIZADOR!G36</f>
        <v>0</v>
      </c>
      <c r="E5" s="136">
        <f>IF(COTIZADOR!$G$301="LIQUIDEZ HIPOTECARIA",D5*16%,0)</f>
        <v>0</v>
      </c>
      <c r="F5" s="136">
        <f>COTIZADOR!H36</f>
        <v>0</v>
      </c>
      <c r="G5" s="136">
        <f>COTIZADOR!I36</f>
        <v>0</v>
      </c>
      <c r="H5" s="136">
        <f>COTIZADOR!J36</f>
        <v>0</v>
      </c>
      <c r="I5" s="136">
        <f>COTIZADOR!K36</f>
        <v>174</v>
      </c>
      <c r="J5" s="137">
        <f>COTIZADOR!L36+E5</f>
        <v>174</v>
      </c>
      <c r="K5" s="134"/>
    </row>
    <row r="6" spans="1:11" x14ac:dyDescent="0.25">
      <c r="A6" s="18"/>
      <c r="B6" s="135">
        <f>COTIZADOR!E37</f>
        <v>2</v>
      </c>
      <c r="C6" s="136">
        <f>COTIZADOR!F37</f>
        <v>0</v>
      </c>
      <c r="D6" s="136">
        <f>COTIZADOR!G37</f>
        <v>0</v>
      </c>
      <c r="E6" s="136">
        <f>IF(COTIZADOR!$G$301="LIQUIDEZ HIPOTECARIA",D6*16%,0)</f>
        <v>0</v>
      </c>
      <c r="F6" s="136">
        <f>COTIZADOR!H37</f>
        <v>0</v>
      </c>
      <c r="G6" s="136">
        <f>COTIZADOR!I37</f>
        <v>0</v>
      </c>
      <c r="H6" s="136">
        <f>COTIZADOR!J37</f>
        <v>0</v>
      </c>
      <c r="I6" s="136">
        <f>COTIZADOR!K37</f>
        <v>174</v>
      </c>
      <c r="J6" s="137">
        <f>COTIZADOR!L37+E6</f>
        <v>174</v>
      </c>
      <c r="K6" s="18"/>
    </row>
    <row r="7" spans="1:11" x14ac:dyDescent="0.25">
      <c r="A7" s="18"/>
      <c r="B7" s="135">
        <f>COTIZADOR!E38</f>
        <v>3</v>
      </c>
      <c r="C7" s="136">
        <f>COTIZADOR!F38</f>
        <v>0</v>
      </c>
      <c r="D7" s="136">
        <f>COTIZADOR!G38</f>
        <v>0</v>
      </c>
      <c r="E7" s="136">
        <f>IF(COTIZADOR!$G$301="LIQUIDEZ HIPOTECARIA",D7*16%,0)</f>
        <v>0</v>
      </c>
      <c r="F7" s="136">
        <f>COTIZADOR!H38</f>
        <v>0</v>
      </c>
      <c r="G7" s="136">
        <f>COTIZADOR!I38</f>
        <v>0</v>
      </c>
      <c r="H7" s="136">
        <f>COTIZADOR!J38</f>
        <v>0</v>
      </c>
      <c r="I7" s="136">
        <f>COTIZADOR!K38</f>
        <v>174</v>
      </c>
      <c r="J7" s="137">
        <f>COTIZADOR!L38+E7</f>
        <v>174</v>
      </c>
      <c r="K7" s="18"/>
    </row>
    <row r="8" spans="1:11" x14ac:dyDescent="0.25">
      <c r="A8" s="18"/>
      <c r="B8" s="135">
        <f>COTIZADOR!E39</f>
        <v>4</v>
      </c>
      <c r="C8" s="136">
        <f>COTIZADOR!F39</f>
        <v>0</v>
      </c>
      <c r="D8" s="136">
        <f>COTIZADOR!G39</f>
        <v>0</v>
      </c>
      <c r="E8" s="136">
        <f>IF(COTIZADOR!$G$301="LIQUIDEZ HIPOTECARIA",D8*16%,0)</f>
        <v>0</v>
      </c>
      <c r="F8" s="136">
        <f>COTIZADOR!H39</f>
        <v>0</v>
      </c>
      <c r="G8" s="136">
        <f>COTIZADOR!I39</f>
        <v>0</v>
      </c>
      <c r="H8" s="136">
        <f>COTIZADOR!J39</f>
        <v>0</v>
      </c>
      <c r="I8" s="136">
        <f>COTIZADOR!K39</f>
        <v>174</v>
      </c>
      <c r="J8" s="137">
        <f>COTIZADOR!L39+E8</f>
        <v>174</v>
      </c>
      <c r="K8" s="18"/>
    </row>
    <row r="9" spans="1:11" x14ac:dyDescent="0.25">
      <c r="A9" s="18"/>
      <c r="B9" s="135">
        <f>COTIZADOR!E40</f>
        <v>5</v>
      </c>
      <c r="C9" s="136">
        <f>COTIZADOR!F40</f>
        <v>0</v>
      </c>
      <c r="D9" s="136">
        <f>COTIZADOR!G40</f>
        <v>0</v>
      </c>
      <c r="E9" s="136">
        <f>IF(COTIZADOR!$G$301="LIQUIDEZ HIPOTECARIA",D9*16%,0)</f>
        <v>0</v>
      </c>
      <c r="F9" s="136">
        <f>COTIZADOR!H40</f>
        <v>0</v>
      </c>
      <c r="G9" s="136">
        <f>COTIZADOR!I40</f>
        <v>0</v>
      </c>
      <c r="H9" s="136">
        <f>COTIZADOR!J40</f>
        <v>0</v>
      </c>
      <c r="I9" s="136">
        <f>COTIZADOR!K40</f>
        <v>174</v>
      </c>
      <c r="J9" s="137">
        <f>COTIZADOR!L40+E9</f>
        <v>174</v>
      </c>
      <c r="K9" s="18"/>
    </row>
    <row r="10" spans="1:11" x14ac:dyDescent="0.25">
      <c r="A10" s="18"/>
      <c r="B10" s="135">
        <f>COTIZADOR!E41</f>
        <v>6</v>
      </c>
      <c r="C10" s="136">
        <f>COTIZADOR!F41</f>
        <v>0</v>
      </c>
      <c r="D10" s="136">
        <f>COTIZADOR!G41</f>
        <v>0</v>
      </c>
      <c r="E10" s="136">
        <f>IF(COTIZADOR!$G$301="LIQUIDEZ HIPOTECARIA",D10*16%,0)</f>
        <v>0</v>
      </c>
      <c r="F10" s="136">
        <f>COTIZADOR!H41</f>
        <v>0</v>
      </c>
      <c r="G10" s="136">
        <f>COTIZADOR!I41</f>
        <v>0</v>
      </c>
      <c r="H10" s="136">
        <f>COTIZADOR!J41</f>
        <v>0</v>
      </c>
      <c r="I10" s="136">
        <f>COTIZADOR!K41</f>
        <v>174</v>
      </c>
      <c r="J10" s="137">
        <f>COTIZADOR!L41+E10</f>
        <v>174</v>
      </c>
      <c r="K10" s="18"/>
    </row>
    <row r="11" spans="1:11" x14ac:dyDescent="0.25">
      <c r="A11" s="18"/>
      <c r="B11" s="135">
        <f>COTIZADOR!E42</f>
        <v>7</v>
      </c>
      <c r="C11" s="136">
        <f>COTIZADOR!F42</f>
        <v>0</v>
      </c>
      <c r="D11" s="136">
        <f>COTIZADOR!G42</f>
        <v>0</v>
      </c>
      <c r="E11" s="136">
        <f>IF(COTIZADOR!$G$301="LIQUIDEZ HIPOTECARIA",D11*16%,0)</f>
        <v>0</v>
      </c>
      <c r="F11" s="136">
        <f>COTIZADOR!H42</f>
        <v>0</v>
      </c>
      <c r="G11" s="136">
        <f>COTIZADOR!I42</f>
        <v>0</v>
      </c>
      <c r="H11" s="136">
        <f>COTIZADOR!J42</f>
        <v>0</v>
      </c>
      <c r="I11" s="136">
        <f>COTIZADOR!K42</f>
        <v>174</v>
      </c>
      <c r="J11" s="137">
        <f>COTIZADOR!L42+E11</f>
        <v>174</v>
      </c>
      <c r="K11" s="18"/>
    </row>
    <row r="12" spans="1:11" x14ac:dyDescent="0.25">
      <c r="A12" s="18"/>
      <c r="B12" s="135">
        <f>COTIZADOR!E43</f>
        <v>8</v>
      </c>
      <c r="C12" s="136">
        <f>COTIZADOR!F43</f>
        <v>0</v>
      </c>
      <c r="D12" s="136">
        <f>COTIZADOR!G43</f>
        <v>0</v>
      </c>
      <c r="E12" s="136">
        <f>IF(COTIZADOR!$G$301="LIQUIDEZ HIPOTECARIA",D12*16%,0)</f>
        <v>0</v>
      </c>
      <c r="F12" s="136">
        <f>COTIZADOR!H43</f>
        <v>0</v>
      </c>
      <c r="G12" s="136">
        <f>COTIZADOR!I43</f>
        <v>0</v>
      </c>
      <c r="H12" s="136">
        <f>COTIZADOR!J43</f>
        <v>0</v>
      </c>
      <c r="I12" s="136">
        <f>COTIZADOR!K43</f>
        <v>174</v>
      </c>
      <c r="J12" s="137">
        <f>COTIZADOR!L43+E12</f>
        <v>174</v>
      </c>
      <c r="K12" s="18"/>
    </row>
    <row r="13" spans="1:11" x14ac:dyDescent="0.25">
      <c r="A13" s="18"/>
      <c r="B13" s="135">
        <f>COTIZADOR!E44</f>
        <v>9</v>
      </c>
      <c r="C13" s="136">
        <f>COTIZADOR!F44</f>
        <v>0</v>
      </c>
      <c r="D13" s="136">
        <f>COTIZADOR!G44</f>
        <v>0</v>
      </c>
      <c r="E13" s="136">
        <f>IF(COTIZADOR!$G$301="LIQUIDEZ HIPOTECARIA",D13*16%,0)</f>
        <v>0</v>
      </c>
      <c r="F13" s="136">
        <f>COTIZADOR!H44</f>
        <v>0</v>
      </c>
      <c r="G13" s="136">
        <f>COTIZADOR!I44</f>
        <v>0</v>
      </c>
      <c r="H13" s="136">
        <f>COTIZADOR!J44</f>
        <v>0</v>
      </c>
      <c r="I13" s="136">
        <f>COTIZADOR!K44</f>
        <v>174</v>
      </c>
      <c r="J13" s="137">
        <f>COTIZADOR!L44+E13</f>
        <v>174</v>
      </c>
      <c r="K13" s="18"/>
    </row>
    <row r="14" spans="1:11" x14ac:dyDescent="0.25">
      <c r="A14" s="18"/>
      <c r="B14" s="135">
        <f>COTIZADOR!E45</f>
        <v>10</v>
      </c>
      <c r="C14" s="136">
        <f>COTIZADOR!F45</f>
        <v>0</v>
      </c>
      <c r="D14" s="136">
        <f>COTIZADOR!G45</f>
        <v>0</v>
      </c>
      <c r="E14" s="136">
        <f>IF(COTIZADOR!$G$301="LIQUIDEZ HIPOTECARIA",D14*16%,0)</f>
        <v>0</v>
      </c>
      <c r="F14" s="136">
        <f>COTIZADOR!H45</f>
        <v>0</v>
      </c>
      <c r="G14" s="136">
        <f>COTIZADOR!I45</f>
        <v>0</v>
      </c>
      <c r="H14" s="136">
        <f>COTIZADOR!J45</f>
        <v>0</v>
      </c>
      <c r="I14" s="136">
        <f>COTIZADOR!K45</f>
        <v>174</v>
      </c>
      <c r="J14" s="137">
        <f>COTIZADOR!L45+E14</f>
        <v>174</v>
      </c>
      <c r="K14" s="18"/>
    </row>
    <row r="15" spans="1:11" x14ac:dyDescent="0.25">
      <c r="A15" s="18"/>
      <c r="B15" s="135">
        <f>COTIZADOR!E46</f>
        <v>11</v>
      </c>
      <c r="C15" s="136">
        <f>COTIZADOR!F46</f>
        <v>0</v>
      </c>
      <c r="D15" s="136">
        <f>COTIZADOR!G46</f>
        <v>0</v>
      </c>
      <c r="E15" s="136">
        <f>IF(COTIZADOR!$G$301="LIQUIDEZ HIPOTECARIA",D15*16%,0)</f>
        <v>0</v>
      </c>
      <c r="F15" s="136">
        <f>COTIZADOR!H46</f>
        <v>0</v>
      </c>
      <c r="G15" s="136">
        <f>COTIZADOR!I46</f>
        <v>0</v>
      </c>
      <c r="H15" s="136">
        <f>COTIZADOR!J46</f>
        <v>0</v>
      </c>
      <c r="I15" s="136">
        <f>COTIZADOR!K46</f>
        <v>174</v>
      </c>
      <c r="J15" s="137">
        <f>COTIZADOR!L46+E15</f>
        <v>174</v>
      </c>
      <c r="K15" s="18"/>
    </row>
    <row r="16" spans="1:11" x14ac:dyDescent="0.25">
      <c r="A16" s="18"/>
      <c r="B16" s="135">
        <f>COTIZADOR!E47</f>
        <v>12</v>
      </c>
      <c r="C16" s="136">
        <f>COTIZADOR!F47</f>
        <v>0</v>
      </c>
      <c r="D16" s="136">
        <f>COTIZADOR!G47</f>
        <v>0</v>
      </c>
      <c r="E16" s="136">
        <f>IF(COTIZADOR!$G$301="LIQUIDEZ HIPOTECARIA",D16*16%,0)</f>
        <v>0</v>
      </c>
      <c r="F16" s="136">
        <f>COTIZADOR!H47</f>
        <v>0</v>
      </c>
      <c r="G16" s="136">
        <f>COTIZADOR!I47</f>
        <v>0</v>
      </c>
      <c r="H16" s="136">
        <f>COTIZADOR!J47</f>
        <v>0</v>
      </c>
      <c r="I16" s="136">
        <f>COTIZADOR!K47</f>
        <v>174</v>
      </c>
      <c r="J16" s="137">
        <f>COTIZADOR!L47+E16</f>
        <v>174</v>
      </c>
      <c r="K16" s="18"/>
    </row>
    <row r="17" spans="1:11" x14ac:dyDescent="0.25">
      <c r="A17" s="18"/>
      <c r="B17" s="135">
        <f>COTIZADOR!E48</f>
        <v>13</v>
      </c>
      <c r="C17" s="136">
        <f>COTIZADOR!F48</f>
        <v>0</v>
      </c>
      <c r="D17" s="136">
        <f>COTIZADOR!G48</f>
        <v>0</v>
      </c>
      <c r="E17" s="136">
        <f>IF(COTIZADOR!$G$301="LIQUIDEZ HIPOTECARIA",D17*16%,0)</f>
        <v>0</v>
      </c>
      <c r="F17" s="136">
        <f>COTIZADOR!H48</f>
        <v>0</v>
      </c>
      <c r="G17" s="136">
        <f>COTIZADOR!I48</f>
        <v>0</v>
      </c>
      <c r="H17" s="136">
        <f>COTIZADOR!J48</f>
        <v>0</v>
      </c>
      <c r="I17" s="136">
        <f>COTIZADOR!K48</f>
        <v>174</v>
      </c>
      <c r="J17" s="137">
        <f>COTIZADOR!L48+E17</f>
        <v>174</v>
      </c>
      <c r="K17" s="18"/>
    </row>
    <row r="18" spans="1:11" x14ac:dyDescent="0.25">
      <c r="A18" s="18"/>
      <c r="B18" s="135">
        <f>COTIZADOR!E49</f>
        <v>14</v>
      </c>
      <c r="C18" s="136">
        <f>COTIZADOR!F49</f>
        <v>0</v>
      </c>
      <c r="D18" s="136">
        <f>COTIZADOR!G49</f>
        <v>0</v>
      </c>
      <c r="E18" s="136">
        <f>IF(COTIZADOR!$G$301="LIQUIDEZ HIPOTECARIA",D18*16%,0)</f>
        <v>0</v>
      </c>
      <c r="F18" s="136">
        <f>COTIZADOR!H49</f>
        <v>0</v>
      </c>
      <c r="G18" s="136">
        <f>COTIZADOR!I49</f>
        <v>0</v>
      </c>
      <c r="H18" s="136">
        <f>COTIZADOR!J49</f>
        <v>0</v>
      </c>
      <c r="I18" s="136">
        <f>COTIZADOR!K49</f>
        <v>174</v>
      </c>
      <c r="J18" s="137">
        <f>COTIZADOR!L49+E18</f>
        <v>174</v>
      </c>
      <c r="K18" s="18"/>
    </row>
    <row r="19" spans="1:11" x14ac:dyDescent="0.25">
      <c r="A19" s="18"/>
      <c r="B19" s="135">
        <f>COTIZADOR!E50</f>
        <v>15</v>
      </c>
      <c r="C19" s="136">
        <f>COTIZADOR!F50</f>
        <v>0</v>
      </c>
      <c r="D19" s="136">
        <f>COTIZADOR!G50</f>
        <v>0</v>
      </c>
      <c r="E19" s="136">
        <f>IF(COTIZADOR!$G$301="LIQUIDEZ HIPOTECARIA",D19*16%,0)</f>
        <v>0</v>
      </c>
      <c r="F19" s="136">
        <f>COTIZADOR!H50</f>
        <v>0</v>
      </c>
      <c r="G19" s="136">
        <f>COTIZADOR!I50</f>
        <v>0</v>
      </c>
      <c r="H19" s="136">
        <f>COTIZADOR!J50</f>
        <v>0</v>
      </c>
      <c r="I19" s="136">
        <f>COTIZADOR!K50</f>
        <v>174</v>
      </c>
      <c r="J19" s="137">
        <f>COTIZADOR!L50+E19</f>
        <v>174</v>
      </c>
      <c r="K19" s="18"/>
    </row>
    <row r="20" spans="1:11" x14ac:dyDescent="0.25">
      <c r="A20" s="18"/>
      <c r="B20" s="135">
        <f>COTIZADOR!E51</f>
        <v>16</v>
      </c>
      <c r="C20" s="136">
        <f>COTIZADOR!F51</f>
        <v>0</v>
      </c>
      <c r="D20" s="136">
        <f>COTIZADOR!G51</f>
        <v>0</v>
      </c>
      <c r="E20" s="136">
        <f>IF(COTIZADOR!$G$301="LIQUIDEZ HIPOTECARIA",D20*16%,0)</f>
        <v>0</v>
      </c>
      <c r="F20" s="136">
        <f>COTIZADOR!H51</f>
        <v>0</v>
      </c>
      <c r="G20" s="136">
        <f>COTIZADOR!I51</f>
        <v>0</v>
      </c>
      <c r="H20" s="136">
        <f>COTIZADOR!J51</f>
        <v>0</v>
      </c>
      <c r="I20" s="136">
        <f>COTIZADOR!K51</f>
        <v>174</v>
      </c>
      <c r="J20" s="137">
        <f>COTIZADOR!L51+E20</f>
        <v>174</v>
      </c>
      <c r="K20" s="18"/>
    </row>
    <row r="21" spans="1:11" x14ac:dyDescent="0.25">
      <c r="A21" s="18"/>
      <c r="B21" s="135">
        <f>COTIZADOR!E52</f>
        <v>17</v>
      </c>
      <c r="C21" s="136">
        <f>COTIZADOR!F52</f>
        <v>0</v>
      </c>
      <c r="D21" s="136">
        <f>COTIZADOR!G52</f>
        <v>0</v>
      </c>
      <c r="E21" s="136">
        <f>IF(COTIZADOR!$G$301="LIQUIDEZ HIPOTECARIA",D21*16%,0)</f>
        <v>0</v>
      </c>
      <c r="F21" s="136">
        <f>COTIZADOR!H52</f>
        <v>0</v>
      </c>
      <c r="G21" s="136">
        <f>COTIZADOR!I52</f>
        <v>0</v>
      </c>
      <c r="H21" s="136">
        <f>COTIZADOR!J52</f>
        <v>0</v>
      </c>
      <c r="I21" s="136">
        <f>COTIZADOR!K52</f>
        <v>174</v>
      </c>
      <c r="J21" s="137">
        <f>COTIZADOR!L52+E21</f>
        <v>174</v>
      </c>
      <c r="K21" s="18"/>
    </row>
    <row r="22" spans="1:11" x14ac:dyDescent="0.25">
      <c r="A22" s="18"/>
      <c r="B22" s="135">
        <f>COTIZADOR!E53</f>
        <v>18</v>
      </c>
      <c r="C22" s="136">
        <f>COTIZADOR!F53</f>
        <v>0</v>
      </c>
      <c r="D22" s="136">
        <f>COTIZADOR!G53</f>
        <v>0</v>
      </c>
      <c r="E22" s="136">
        <f>IF(COTIZADOR!$G$301="LIQUIDEZ HIPOTECARIA",D22*16%,0)</f>
        <v>0</v>
      </c>
      <c r="F22" s="136">
        <f>COTIZADOR!H53</f>
        <v>0</v>
      </c>
      <c r="G22" s="136">
        <f>COTIZADOR!I53</f>
        <v>0</v>
      </c>
      <c r="H22" s="136">
        <f>COTIZADOR!J53</f>
        <v>0</v>
      </c>
      <c r="I22" s="136">
        <f>COTIZADOR!K53</f>
        <v>174</v>
      </c>
      <c r="J22" s="137">
        <f>COTIZADOR!L53+E22</f>
        <v>174</v>
      </c>
      <c r="K22" s="18"/>
    </row>
    <row r="23" spans="1:11" x14ac:dyDescent="0.25">
      <c r="A23" s="18"/>
      <c r="B23" s="135">
        <f>COTIZADOR!E54</f>
        <v>19</v>
      </c>
      <c r="C23" s="136">
        <f>COTIZADOR!F54</f>
        <v>0</v>
      </c>
      <c r="D23" s="136">
        <f>COTIZADOR!G54</f>
        <v>0</v>
      </c>
      <c r="E23" s="136">
        <f>IF(COTIZADOR!$G$301="LIQUIDEZ HIPOTECARIA",D23*16%,0)</f>
        <v>0</v>
      </c>
      <c r="F23" s="136">
        <f>COTIZADOR!H54</f>
        <v>0</v>
      </c>
      <c r="G23" s="136">
        <f>COTIZADOR!I54</f>
        <v>0</v>
      </c>
      <c r="H23" s="136">
        <f>COTIZADOR!J54</f>
        <v>0</v>
      </c>
      <c r="I23" s="136">
        <f>COTIZADOR!K54</f>
        <v>174</v>
      </c>
      <c r="J23" s="137">
        <f>COTIZADOR!L54+E23</f>
        <v>174</v>
      </c>
      <c r="K23" s="18"/>
    </row>
    <row r="24" spans="1:11" x14ac:dyDescent="0.25">
      <c r="A24" s="18"/>
      <c r="B24" s="135">
        <f>COTIZADOR!E55</f>
        <v>20</v>
      </c>
      <c r="C24" s="136">
        <f>COTIZADOR!F55</f>
        <v>0</v>
      </c>
      <c r="D24" s="136">
        <f>COTIZADOR!G55</f>
        <v>0</v>
      </c>
      <c r="E24" s="136">
        <f>IF(COTIZADOR!$G$301="LIQUIDEZ HIPOTECARIA",D24*16%,0)</f>
        <v>0</v>
      </c>
      <c r="F24" s="136">
        <f>COTIZADOR!H55</f>
        <v>0</v>
      </c>
      <c r="G24" s="136">
        <f>COTIZADOR!I55</f>
        <v>0</v>
      </c>
      <c r="H24" s="136">
        <f>COTIZADOR!J55</f>
        <v>0</v>
      </c>
      <c r="I24" s="136">
        <f>COTIZADOR!K55</f>
        <v>174</v>
      </c>
      <c r="J24" s="137">
        <f>COTIZADOR!L55+E24</f>
        <v>174</v>
      </c>
      <c r="K24" s="18"/>
    </row>
    <row r="25" spans="1:11" x14ac:dyDescent="0.25">
      <c r="A25" s="18"/>
      <c r="B25" s="135">
        <f>COTIZADOR!E56</f>
        <v>21</v>
      </c>
      <c r="C25" s="136">
        <f>COTIZADOR!F56</f>
        <v>0</v>
      </c>
      <c r="D25" s="136">
        <f>COTIZADOR!G56</f>
        <v>0</v>
      </c>
      <c r="E25" s="136">
        <f>IF(COTIZADOR!$G$301="LIQUIDEZ HIPOTECARIA",D25*16%,0)</f>
        <v>0</v>
      </c>
      <c r="F25" s="136">
        <f>COTIZADOR!H56</f>
        <v>0</v>
      </c>
      <c r="G25" s="136">
        <f>COTIZADOR!I56</f>
        <v>0</v>
      </c>
      <c r="H25" s="136">
        <f>COTIZADOR!J56</f>
        <v>0</v>
      </c>
      <c r="I25" s="136">
        <f>COTIZADOR!K56</f>
        <v>174</v>
      </c>
      <c r="J25" s="137">
        <f>COTIZADOR!L56+E25</f>
        <v>174</v>
      </c>
      <c r="K25" s="18"/>
    </row>
    <row r="26" spans="1:11" x14ac:dyDescent="0.25">
      <c r="A26" s="18"/>
      <c r="B26" s="135">
        <f>COTIZADOR!E57</f>
        <v>22</v>
      </c>
      <c r="C26" s="136">
        <f>COTIZADOR!F57</f>
        <v>0</v>
      </c>
      <c r="D26" s="136">
        <f>COTIZADOR!G57</f>
        <v>0</v>
      </c>
      <c r="E26" s="136">
        <f>IF(COTIZADOR!$G$301="LIQUIDEZ HIPOTECARIA",D26*16%,0)</f>
        <v>0</v>
      </c>
      <c r="F26" s="136">
        <f>COTIZADOR!H57</f>
        <v>0</v>
      </c>
      <c r="G26" s="136">
        <f>COTIZADOR!I57</f>
        <v>0</v>
      </c>
      <c r="H26" s="136">
        <f>COTIZADOR!J57</f>
        <v>0</v>
      </c>
      <c r="I26" s="136">
        <f>COTIZADOR!K57</f>
        <v>174</v>
      </c>
      <c r="J26" s="137">
        <f>COTIZADOR!L57+E26</f>
        <v>174</v>
      </c>
      <c r="K26" s="18"/>
    </row>
    <row r="27" spans="1:11" x14ac:dyDescent="0.25">
      <c r="A27" s="18"/>
      <c r="B27" s="135">
        <f>COTIZADOR!E58</f>
        <v>23</v>
      </c>
      <c r="C27" s="136">
        <f>COTIZADOR!F58</f>
        <v>0</v>
      </c>
      <c r="D27" s="136">
        <f>COTIZADOR!G58</f>
        <v>0</v>
      </c>
      <c r="E27" s="136">
        <f>IF(COTIZADOR!$G$301="LIQUIDEZ HIPOTECARIA",D27*16%,0)</f>
        <v>0</v>
      </c>
      <c r="F27" s="136">
        <f>COTIZADOR!H58</f>
        <v>0</v>
      </c>
      <c r="G27" s="136">
        <f>COTIZADOR!I58</f>
        <v>0</v>
      </c>
      <c r="H27" s="136">
        <f>COTIZADOR!J58</f>
        <v>0</v>
      </c>
      <c r="I27" s="136">
        <f>COTIZADOR!K58</f>
        <v>174</v>
      </c>
      <c r="J27" s="137">
        <f>COTIZADOR!L58+E27</f>
        <v>174</v>
      </c>
      <c r="K27" s="18"/>
    </row>
    <row r="28" spans="1:11" x14ac:dyDescent="0.25">
      <c r="A28" s="18"/>
      <c r="B28" s="135">
        <f>COTIZADOR!E59</f>
        <v>24</v>
      </c>
      <c r="C28" s="136">
        <f>COTIZADOR!F59</f>
        <v>0</v>
      </c>
      <c r="D28" s="136">
        <f>COTIZADOR!G59</f>
        <v>0</v>
      </c>
      <c r="E28" s="136">
        <f>IF(COTIZADOR!$G$301="LIQUIDEZ HIPOTECARIA",D28*16%,0)</f>
        <v>0</v>
      </c>
      <c r="F28" s="136">
        <f>COTIZADOR!H59</f>
        <v>0</v>
      </c>
      <c r="G28" s="136">
        <f>COTIZADOR!I59</f>
        <v>0</v>
      </c>
      <c r="H28" s="136">
        <f>COTIZADOR!J59</f>
        <v>0</v>
      </c>
      <c r="I28" s="136">
        <f>COTIZADOR!K59</f>
        <v>174</v>
      </c>
      <c r="J28" s="137">
        <f>COTIZADOR!L59+E28</f>
        <v>174</v>
      </c>
      <c r="K28" s="18"/>
    </row>
    <row r="29" spans="1:11" x14ac:dyDescent="0.25">
      <c r="A29" s="18"/>
      <c r="B29" s="135">
        <f>COTIZADOR!E60</f>
        <v>25</v>
      </c>
      <c r="C29" s="136">
        <f>COTIZADOR!F60</f>
        <v>0</v>
      </c>
      <c r="D29" s="136">
        <f>COTIZADOR!G60</f>
        <v>0</v>
      </c>
      <c r="E29" s="136">
        <f>IF(COTIZADOR!$G$301="LIQUIDEZ HIPOTECARIA",D29*16%,0)</f>
        <v>0</v>
      </c>
      <c r="F29" s="136">
        <f>COTIZADOR!H60</f>
        <v>0</v>
      </c>
      <c r="G29" s="136">
        <f>COTIZADOR!I60</f>
        <v>0</v>
      </c>
      <c r="H29" s="136">
        <f>COTIZADOR!J60</f>
        <v>0</v>
      </c>
      <c r="I29" s="136">
        <f>COTIZADOR!K60</f>
        <v>174</v>
      </c>
      <c r="J29" s="137">
        <f>COTIZADOR!L60+E29</f>
        <v>174</v>
      </c>
      <c r="K29" s="18"/>
    </row>
    <row r="30" spans="1:11" x14ac:dyDescent="0.25">
      <c r="A30" s="18"/>
      <c r="B30" s="135">
        <f>COTIZADOR!E61</f>
        <v>26</v>
      </c>
      <c r="C30" s="136">
        <f>COTIZADOR!F61</f>
        <v>0</v>
      </c>
      <c r="D30" s="136">
        <f>COTIZADOR!G61</f>
        <v>0</v>
      </c>
      <c r="E30" s="136">
        <f>IF(COTIZADOR!$G$301="LIQUIDEZ HIPOTECARIA",D30*16%,0)</f>
        <v>0</v>
      </c>
      <c r="F30" s="136">
        <f>COTIZADOR!H61</f>
        <v>0</v>
      </c>
      <c r="G30" s="136">
        <f>COTIZADOR!I61</f>
        <v>0</v>
      </c>
      <c r="H30" s="136">
        <f>COTIZADOR!J61</f>
        <v>0</v>
      </c>
      <c r="I30" s="136">
        <f>COTIZADOR!K61</f>
        <v>174</v>
      </c>
      <c r="J30" s="137">
        <f>COTIZADOR!L61+E30</f>
        <v>174</v>
      </c>
      <c r="K30" s="18"/>
    </row>
    <row r="31" spans="1:11" x14ac:dyDescent="0.25">
      <c r="A31" s="18"/>
      <c r="B31" s="135">
        <f>COTIZADOR!E62</f>
        <v>27</v>
      </c>
      <c r="C31" s="136">
        <f>COTIZADOR!F62</f>
        <v>0</v>
      </c>
      <c r="D31" s="136">
        <f>COTIZADOR!G62</f>
        <v>0</v>
      </c>
      <c r="E31" s="136">
        <f>IF(COTIZADOR!$G$301="LIQUIDEZ HIPOTECARIA",D31*16%,0)</f>
        <v>0</v>
      </c>
      <c r="F31" s="136">
        <f>COTIZADOR!H62</f>
        <v>0</v>
      </c>
      <c r="G31" s="136">
        <f>COTIZADOR!I62</f>
        <v>0</v>
      </c>
      <c r="H31" s="136">
        <f>COTIZADOR!J62</f>
        <v>0</v>
      </c>
      <c r="I31" s="136">
        <f>COTIZADOR!K62</f>
        <v>174</v>
      </c>
      <c r="J31" s="137">
        <f>COTIZADOR!L62+E31</f>
        <v>174</v>
      </c>
      <c r="K31" s="18"/>
    </row>
    <row r="32" spans="1:11" x14ac:dyDescent="0.25">
      <c r="A32" s="18"/>
      <c r="B32" s="135">
        <f>COTIZADOR!E63</f>
        <v>28</v>
      </c>
      <c r="C32" s="136">
        <f>COTIZADOR!F63</f>
        <v>0</v>
      </c>
      <c r="D32" s="136">
        <f>COTIZADOR!G63</f>
        <v>0</v>
      </c>
      <c r="E32" s="136">
        <f>IF(COTIZADOR!$G$301="LIQUIDEZ HIPOTECARIA",D32*16%,0)</f>
        <v>0</v>
      </c>
      <c r="F32" s="136">
        <f>COTIZADOR!H63</f>
        <v>0</v>
      </c>
      <c r="G32" s="136">
        <f>COTIZADOR!I63</f>
        <v>0</v>
      </c>
      <c r="H32" s="136">
        <f>COTIZADOR!J63</f>
        <v>0</v>
      </c>
      <c r="I32" s="136">
        <f>COTIZADOR!K63</f>
        <v>174</v>
      </c>
      <c r="J32" s="137">
        <f>COTIZADOR!L63+E32</f>
        <v>174</v>
      </c>
      <c r="K32" s="18"/>
    </row>
    <row r="33" spans="1:11" x14ac:dyDescent="0.25">
      <c r="A33" s="18"/>
      <c r="B33" s="135">
        <f>COTIZADOR!E64</f>
        <v>29</v>
      </c>
      <c r="C33" s="136">
        <f>COTIZADOR!F64</f>
        <v>0</v>
      </c>
      <c r="D33" s="136">
        <f>COTIZADOR!G64</f>
        <v>0</v>
      </c>
      <c r="E33" s="136">
        <f>IF(COTIZADOR!$G$301="LIQUIDEZ HIPOTECARIA",D33*16%,0)</f>
        <v>0</v>
      </c>
      <c r="F33" s="136">
        <f>COTIZADOR!H64</f>
        <v>0</v>
      </c>
      <c r="G33" s="136">
        <f>COTIZADOR!I64</f>
        <v>0</v>
      </c>
      <c r="H33" s="136">
        <f>COTIZADOR!J64</f>
        <v>0</v>
      </c>
      <c r="I33" s="136">
        <f>COTIZADOR!K64</f>
        <v>174</v>
      </c>
      <c r="J33" s="137">
        <f>COTIZADOR!L64+E33</f>
        <v>174</v>
      </c>
      <c r="K33" s="18"/>
    </row>
    <row r="34" spans="1:11" x14ac:dyDescent="0.25">
      <c r="A34" s="18"/>
      <c r="B34" s="135">
        <f>COTIZADOR!E65</f>
        <v>30</v>
      </c>
      <c r="C34" s="136">
        <f>COTIZADOR!F65</f>
        <v>0</v>
      </c>
      <c r="D34" s="136">
        <f>COTIZADOR!G65</f>
        <v>0</v>
      </c>
      <c r="E34" s="136">
        <f>IF(COTIZADOR!$G$301="LIQUIDEZ HIPOTECARIA",D34*16%,0)</f>
        <v>0</v>
      </c>
      <c r="F34" s="136">
        <f>COTIZADOR!H65</f>
        <v>0</v>
      </c>
      <c r="G34" s="136">
        <f>COTIZADOR!I65</f>
        <v>0</v>
      </c>
      <c r="H34" s="136">
        <f>COTIZADOR!J65</f>
        <v>0</v>
      </c>
      <c r="I34" s="136">
        <f>COTIZADOR!K65</f>
        <v>174</v>
      </c>
      <c r="J34" s="137">
        <f>COTIZADOR!L65+E34</f>
        <v>174</v>
      </c>
      <c r="K34" s="18"/>
    </row>
    <row r="35" spans="1:11" x14ac:dyDescent="0.25">
      <c r="A35" s="18"/>
      <c r="B35" s="135">
        <f>COTIZADOR!E66</f>
        <v>31</v>
      </c>
      <c r="C35" s="136">
        <f>COTIZADOR!F66</f>
        <v>0</v>
      </c>
      <c r="D35" s="136">
        <f>COTIZADOR!G66</f>
        <v>0</v>
      </c>
      <c r="E35" s="136">
        <f>IF(COTIZADOR!$G$301="LIQUIDEZ HIPOTECARIA",D35*16%,0)</f>
        <v>0</v>
      </c>
      <c r="F35" s="136">
        <f>COTIZADOR!H66</f>
        <v>0</v>
      </c>
      <c r="G35" s="136">
        <f>COTIZADOR!I66</f>
        <v>0</v>
      </c>
      <c r="H35" s="136">
        <f>COTIZADOR!J66</f>
        <v>0</v>
      </c>
      <c r="I35" s="136">
        <f>COTIZADOR!K66</f>
        <v>174</v>
      </c>
      <c r="J35" s="137">
        <f>COTIZADOR!L66+E35</f>
        <v>174</v>
      </c>
      <c r="K35" s="18"/>
    </row>
    <row r="36" spans="1:11" x14ac:dyDescent="0.25">
      <c r="A36" s="18"/>
      <c r="B36" s="135">
        <f>COTIZADOR!E67</f>
        <v>32</v>
      </c>
      <c r="C36" s="136">
        <f>COTIZADOR!F67</f>
        <v>0</v>
      </c>
      <c r="D36" s="136">
        <f>COTIZADOR!G67</f>
        <v>0</v>
      </c>
      <c r="E36" s="136">
        <f>IF(COTIZADOR!$G$301="LIQUIDEZ HIPOTECARIA",D36*16%,0)</f>
        <v>0</v>
      </c>
      <c r="F36" s="136">
        <f>COTIZADOR!H67</f>
        <v>0</v>
      </c>
      <c r="G36" s="136">
        <f>COTIZADOR!I67</f>
        <v>0</v>
      </c>
      <c r="H36" s="136">
        <f>COTIZADOR!J67</f>
        <v>0</v>
      </c>
      <c r="I36" s="136">
        <f>COTIZADOR!K67</f>
        <v>174</v>
      </c>
      <c r="J36" s="137">
        <f>COTIZADOR!L67+E36</f>
        <v>174</v>
      </c>
      <c r="K36" s="18"/>
    </row>
    <row r="37" spans="1:11" x14ac:dyDescent="0.25">
      <c r="A37" s="18"/>
      <c r="B37" s="135">
        <f>COTIZADOR!E68</f>
        <v>33</v>
      </c>
      <c r="C37" s="136">
        <f>COTIZADOR!F68</f>
        <v>0</v>
      </c>
      <c r="D37" s="136">
        <f>COTIZADOR!G68</f>
        <v>0</v>
      </c>
      <c r="E37" s="136">
        <f>IF(COTIZADOR!$G$301="LIQUIDEZ HIPOTECARIA",D37*16%,0)</f>
        <v>0</v>
      </c>
      <c r="F37" s="136">
        <f>COTIZADOR!H68</f>
        <v>0</v>
      </c>
      <c r="G37" s="136">
        <f>COTIZADOR!I68</f>
        <v>0</v>
      </c>
      <c r="H37" s="136">
        <f>COTIZADOR!J68</f>
        <v>0</v>
      </c>
      <c r="I37" s="136">
        <f>COTIZADOR!K68</f>
        <v>174</v>
      </c>
      <c r="J37" s="137">
        <f>COTIZADOR!L68+E37</f>
        <v>174</v>
      </c>
      <c r="K37" s="18"/>
    </row>
    <row r="38" spans="1:11" x14ac:dyDescent="0.25">
      <c r="A38" s="18"/>
      <c r="B38" s="135">
        <f>COTIZADOR!E69</f>
        <v>34</v>
      </c>
      <c r="C38" s="136">
        <f>COTIZADOR!F69</f>
        <v>0</v>
      </c>
      <c r="D38" s="136">
        <f>COTIZADOR!G69</f>
        <v>0</v>
      </c>
      <c r="E38" s="136">
        <f>IF(COTIZADOR!$G$301="LIQUIDEZ HIPOTECARIA",D38*16%,0)</f>
        <v>0</v>
      </c>
      <c r="F38" s="136">
        <f>COTIZADOR!H69</f>
        <v>0</v>
      </c>
      <c r="G38" s="136">
        <f>COTIZADOR!I69</f>
        <v>0</v>
      </c>
      <c r="H38" s="136">
        <f>COTIZADOR!J69</f>
        <v>0</v>
      </c>
      <c r="I38" s="136">
        <f>COTIZADOR!K69</f>
        <v>174</v>
      </c>
      <c r="J38" s="137">
        <f>COTIZADOR!L69+E38</f>
        <v>174</v>
      </c>
      <c r="K38" s="18"/>
    </row>
    <row r="39" spans="1:11" x14ac:dyDescent="0.25">
      <c r="A39" s="18"/>
      <c r="B39" s="135">
        <f>COTIZADOR!E70</f>
        <v>35</v>
      </c>
      <c r="C39" s="136">
        <f>COTIZADOR!F70</f>
        <v>0</v>
      </c>
      <c r="D39" s="136">
        <f>COTIZADOR!G70</f>
        <v>0</v>
      </c>
      <c r="E39" s="136">
        <f>IF(COTIZADOR!$G$301="LIQUIDEZ HIPOTECARIA",D39*16%,0)</f>
        <v>0</v>
      </c>
      <c r="F39" s="136">
        <f>COTIZADOR!H70</f>
        <v>0</v>
      </c>
      <c r="G39" s="136">
        <f>COTIZADOR!I70</f>
        <v>0</v>
      </c>
      <c r="H39" s="136">
        <f>COTIZADOR!J70</f>
        <v>0</v>
      </c>
      <c r="I39" s="136">
        <f>COTIZADOR!K70</f>
        <v>174</v>
      </c>
      <c r="J39" s="137">
        <f>COTIZADOR!L70+E39</f>
        <v>174</v>
      </c>
      <c r="K39" s="18"/>
    </row>
    <row r="40" spans="1:11" x14ac:dyDescent="0.25">
      <c r="A40" s="18"/>
      <c r="B40" s="135">
        <f>COTIZADOR!E71</f>
        <v>36</v>
      </c>
      <c r="C40" s="136">
        <f>COTIZADOR!F71</f>
        <v>0</v>
      </c>
      <c r="D40" s="136">
        <f>COTIZADOR!G71</f>
        <v>0</v>
      </c>
      <c r="E40" s="136">
        <f>IF(COTIZADOR!$G$301="LIQUIDEZ HIPOTECARIA",D40*16%,0)</f>
        <v>0</v>
      </c>
      <c r="F40" s="136">
        <f>COTIZADOR!H71</f>
        <v>0</v>
      </c>
      <c r="G40" s="136">
        <f>COTIZADOR!I71</f>
        <v>0</v>
      </c>
      <c r="H40" s="136">
        <f>COTIZADOR!J71</f>
        <v>0</v>
      </c>
      <c r="I40" s="136">
        <f>COTIZADOR!K71</f>
        <v>174</v>
      </c>
      <c r="J40" s="137">
        <f>COTIZADOR!L71+E40</f>
        <v>174</v>
      </c>
      <c r="K40" s="18"/>
    </row>
    <row r="41" spans="1:11" x14ac:dyDescent="0.25">
      <c r="A41" s="18"/>
      <c r="B41" s="135">
        <f>COTIZADOR!E72</f>
        <v>37</v>
      </c>
      <c r="C41" s="136">
        <f>COTIZADOR!F72</f>
        <v>0</v>
      </c>
      <c r="D41" s="136">
        <f>COTIZADOR!G72</f>
        <v>0</v>
      </c>
      <c r="E41" s="136">
        <f>IF(COTIZADOR!$G$301="LIQUIDEZ HIPOTECARIA",D41*16%,0)</f>
        <v>0</v>
      </c>
      <c r="F41" s="136">
        <f>COTIZADOR!H72</f>
        <v>0</v>
      </c>
      <c r="G41" s="136">
        <f>COTIZADOR!I72</f>
        <v>0</v>
      </c>
      <c r="H41" s="136">
        <f>COTIZADOR!J72</f>
        <v>0</v>
      </c>
      <c r="I41" s="136">
        <f>COTIZADOR!K72</f>
        <v>174</v>
      </c>
      <c r="J41" s="137">
        <f>COTIZADOR!L72+E41</f>
        <v>174</v>
      </c>
      <c r="K41" s="18"/>
    </row>
    <row r="42" spans="1:11" x14ac:dyDescent="0.25">
      <c r="A42" s="18"/>
      <c r="B42" s="135">
        <f>COTIZADOR!E73</f>
        <v>38</v>
      </c>
      <c r="C42" s="136">
        <f>COTIZADOR!F73</f>
        <v>0</v>
      </c>
      <c r="D42" s="136">
        <f>COTIZADOR!G73</f>
        <v>0</v>
      </c>
      <c r="E42" s="136">
        <f>IF(COTIZADOR!$G$301="LIQUIDEZ HIPOTECARIA",D42*16%,0)</f>
        <v>0</v>
      </c>
      <c r="F42" s="136">
        <f>COTIZADOR!H73</f>
        <v>0</v>
      </c>
      <c r="G42" s="136">
        <f>COTIZADOR!I73</f>
        <v>0</v>
      </c>
      <c r="H42" s="136">
        <f>COTIZADOR!J73</f>
        <v>0</v>
      </c>
      <c r="I42" s="136">
        <f>COTIZADOR!K73</f>
        <v>174</v>
      </c>
      <c r="J42" s="137">
        <f>COTIZADOR!L73+E42</f>
        <v>174</v>
      </c>
      <c r="K42" s="18"/>
    </row>
    <row r="43" spans="1:11" x14ac:dyDescent="0.25">
      <c r="A43" s="18"/>
      <c r="B43" s="135">
        <f>COTIZADOR!E74</f>
        <v>39</v>
      </c>
      <c r="C43" s="136">
        <f>COTIZADOR!F74</f>
        <v>0</v>
      </c>
      <c r="D43" s="136">
        <f>COTIZADOR!G74</f>
        <v>0</v>
      </c>
      <c r="E43" s="136">
        <f>IF(COTIZADOR!$G$301="LIQUIDEZ HIPOTECARIA",D43*16%,0)</f>
        <v>0</v>
      </c>
      <c r="F43" s="136">
        <f>COTIZADOR!H74</f>
        <v>0</v>
      </c>
      <c r="G43" s="136">
        <f>COTIZADOR!I74</f>
        <v>0</v>
      </c>
      <c r="H43" s="136">
        <f>COTIZADOR!J74</f>
        <v>0</v>
      </c>
      <c r="I43" s="136">
        <f>COTIZADOR!K74</f>
        <v>174</v>
      </c>
      <c r="J43" s="137">
        <f>COTIZADOR!L74+E43</f>
        <v>174</v>
      </c>
      <c r="K43" s="18"/>
    </row>
    <row r="44" spans="1:11" x14ac:dyDescent="0.25">
      <c r="A44" s="18"/>
      <c r="B44" s="135">
        <f>COTIZADOR!E75</f>
        <v>40</v>
      </c>
      <c r="C44" s="136">
        <f>COTIZADOR!F75</f>
        <v>0</v>
      </c>
      <c r="D44" s="136">
        <f>COTIZADOR!G75</f>
        <v>0</v>
      </c>
      <c r="E44" s="136">
        <f>IF(COTIZADOR!$G$301="LIQUIDEZ HIPOTECARIA",D44*16%,0)</f>
        <v>0</v>
      </c>
      <c r="F44" s="136">
        <f>COTIZADOR!H75</f>
        <v>0</v>
      </c>
      <c r="G44" s="136">
        <f>COTIZADOR!I75</f>
        <v>0</v>
      </c>
      <c r="H44" s="136">
        <f>COTIZADOR!J75</f>
        <v>0</v>
      </c>
      <c r="I44" s="136">
        <f>COTIZADOR!K75</f>
        <v>174</v>
      </c>
      <c r="J44" s="137">
        <f>COTIZADOR!L75+E44</f>
        <v>174</v>
      </c>
      <c r="K44" s="18"/>
    </row>
    <row r="45" spans="1:11" x14ac:dyDescent="0.25">
      <c r="A45" s="18"/>
      <c r="B45" s="135">
        <f>COTIZADOR!E76</f>
        <v>41</v>
      </c>
      <c r="C45" s="136">
        <f>COTIZADOR!F76</f>
        <v>0</v>
      </c>
      <c r="D45" s="136">
        <f>COTIZADOR!G76</f>
        <v>0</v>
      </c>
      <c r="E45" s="136">
        <f>IF(COTIZADOR!$G$301="LIQUIDEZ HIPOTECARIA",D45*16%,0)</f>
        <v>0</v>
      </c>
      <c r="F45" s="136">
        <f>COTIZADOR!H76</f>
        <v>0</v>
      </c>
      <c r="G45" s="136">
        <f>COTIZADOR!I76</f>
        <v>0</v>
      </c>
      <c r="H45" s="136">
        <f>COTIZADOR!J76</f>
        <v>0</v>
      </c>
      <c r="I45" s="136">
        <f>COTIZADOR!K76</f>
        <v>174</v>
      </c>
      <c r="J45" s="137">
        <f>COTIZADOR!L76+E45</f>
        <v>174</v>
      </c>
      <c r="K45" s="18"/>
    </row>
    <row r="46" spans="1:11" x14ac:dyDescent="0.25">
      <c r="A46" s="18"/>
      <c r="B46" s="135">
        <f>COTIZADOR!E77</f>
        <v>42</v>
      </c>
      <c r="C46" s="136">
        <f>COTIZADOR!F77</f>
        <v>0</v>
      </c>
      <c r="D46" s="136">
        <f>COTIZADOR!G77</f>
        <v>0</v>
      </c>
      <c r="E46" s="136">
        <f>IF(COTIZADOR!$G$301="LIQUIDEZ HIPOTECARIA",D46*16%,0)</f>
        <v>0</v>
      </c>
      <c r="F46" s="136">
        <f>COTIZADOR!H77</f>
        <v>0</v>
      </c>
      <c r="G46" s="136">
        <f>COTIZADOR!I77</f>
        <v>0</v>
      </c>
      <c r="H46" s="136">
        <f>COTIZADOR!J77</f>
        <v>0</v>
      </c>
      <c r="I46" s="136">
        <f>COTIZADOR!K77</f>
        <v>174</v>
      </c>
      <c r="J46" s="137">
        <f>COTIZADOR!L77+E46</f>
        <v>174</v>
      </c>
      <c r="K46" s="18"/>
    </row>
    <row r="47" spans="1:11" x14ac:dyDescent="0.25">
      <c r="A47" s="18"/>
      <c r="B47" s="135">
        <f>COTIZADOR!E78</f>
        <v>43</v>
      </c>
      <c r="C47" s="136">
        <f>COTIZADOR!F78</f>
        <v>0</v>
      </c>
      <c r="D47" s="136">
        <f>COTIZADOR!G78</f>
        <v>0</v>
      </c>
      <c r="E47" s="136">
        <f>IF(COTIZADOR!$G$301="LIQUIDEZ HIPOTECARIA",D47*16%,0)</f>
        <v>0</v>
      </c>
      <c r="F47" s="136">
        <f>COTIZADOR!H78</f>
        <v>0</v>
      </c>
      <c r="G47" s="136">
        <f>COTIZADOR!I78</f>
        <v>0</v>
      </c>
      <c r="H47" s="136">
        <f>COTIZADOR!J78</f>
        <v>0</v>
      </c>
      <c r="I47" s="136">
        <f>COTIZADOR!K78</f>
        <v>174</v>
      </c>
      <c r="J47" s="137">
        <f>COTIZADOR!L78+E47</f>
        <v>174</v>
      </c>
      <c r="K47" s="18"/>
    </row>
    <row r="48" spans="1:11" x14ac:dyDescent="0.25">
      <c r="A48" s="18"/>
      <c r="B48" s="135">
        <f>COTIZADOR!E79</f>
        <v>44</v>
      </c>
      <c r="C48" s="136">
        <f>COTIZADOR!F79</f>
        <v>0</v>
      </c>
      <c r="D48" s="136">
        <f>COTIZADOR!G79</f>
        <v>0</v>
      </c>
      <c r="E48" s="136">
        <f>IF(COTIZADOR!$G$301="LIQUIDEZ HIPOTECARIA",D48*16%,0)</f>
        <v>0</v>
      </c>
      <c r="F48" s="136">
        <f>COTIZADOR!H79</f>
        <v>0</v>
      </c>
      <c r="G48" s="136">
        <f>COTIZADOR!I79</f>
        <v>0</v>
      </c>
      <c r="H48" s="136">
        <f>COTIZADOR!J79</f>
        <v>0</v>
      </c>
      <c r="I48" s="136">
        <f>COTIZADOR!K79</f>
        <v>174</v>
      </c>
      <c r="J48" s="137">
        <f>COTIZADOR!L79+E48</f>
        <v>174</v>
      </c>
      <c r="K48" s="18"/>
    </row>
    <row r="49" spans="1:11" x14ac:dyDescent="0.25">
      <c r="A49" s="18"/>
      <c r="B49" s="135">
        <f>COTIZADOR!E80</f>
        <v>45</v>
      </c>
      <c r="C49" s="136">
        <f>COTIZADOR!F80</f>
        <v>0</v>
      </c>
      <c r="D49" s="136">
        <f>COTIZADOR!G80</f>
        <v>0</v>
      </c>
      <c r="E49" s="136">
        <f>IF(COTIZADOR!$G$301="LIQUIDEZ HIPOTECARIA",D49*16%,0)</f>
        <v>0</v>
      </c>
      <c r="F49" s="136">
        <f>COTIZADOR!H80</f>
        <v>0</v>
      </c>
      <c r="G49" s="136">
        <f>COTIZADOR!I80</f>
        <v>0</v>
      </c>
      <c r="H49" s="136">
        <f>COTIZADOR!J80</f>
        <v>0</v>
      </c>
      <c r="I49" s="136">
        <f>COTIZADOR!K80</f>
        <v>174</v>
      </c>
      <c r="J49" s="137">
        <f>COTIZADOR!L80+E49</f>
        <v>174</v>
      </c>
      <c r="K49" s="18"/>
    </row>
    <row r="50" spans="1:11" x14ac:dyDescent="0.25">
      <c r="A50" s="18"/>
      <c r="B50" s="135">
        <f>COTIZADOR!E81</f>
        <v>46</v>
      </c>
      <c r="C50" s="136">
        <f>COTIZADOR!F81</f>
        <v>0</v>
      </c>
      <c r="D50" s="136">
        <f>COTIZADOR!G81</f>
        <v>0</v>
      </c>
      <c r="E50" s="136">
        <f>IF(COTIZADOR!$G$301="LIQUIDEZ HIPOTECARIA",D50*16%,0)</f>
        <v>0</v>
      </c>
      <c r="F50" s="136">
        <f>COTIZADOR!H81</f>
        <v>0</v>
      </c>
      <c r="G50" s="136">
        <f>COTIZADOR!I81</f>
        <v>0</v>
      </c>
      <c r="H50" s="136">
        <f>COTIZADOR!J81</f>
        <v>0</v>
      </c>
      <c r="I50" s="136">
        <f>COTIZADOR!K81</f>
        <v>174</v>
      </c>
      <c r="J50" s="137">
        <f>COTIZADOR!L81+E50</f>
        <v>174</v>
      </c>
      <c r="K50" s="18"/>
    </row>
    <row r="51" spans="1:11" x14ac:dyDescent="0.25">
      <c r="A51" s="18"/>
      <c r="B51" s="135">
        <f>COTIZADOR!E82</f>
        <v>47</v>
      </c>
      <c r="C51" s="136">
        <f>COTIZADOR!F82</f>
        <v>0</v>
      </c>
      <c r="D51" s="136">
        <f>COTIZADOR!G82</f>
        <v>0</v>
      </c>
      <c r="E51" s="136">
        <f>IF(COTIZADOR!$G$301="LIQUIDEZ HIPOTECARIA",D51*16%,0)</f>
        <v>0</v>
      </c>
      <c r="F51" s="136">
        <f>COTIZADOR!H82</f>
        <v>0</v>
      </c>
      <c r="G51" s="136">
        <f>COTIZADOR!I82</f>
        <v>0</v>
      </c>
      <c r="H51" s="136">
        <f>COTIZADOR!J82</f>
        <v>0</v>
      </c>
      <c r="I51" s="136">
        <f>COTIZADOR!K82</f>
        <v>174</v>
      </c>
      <c r="J51" s="137">
        <f>COTIZADOR!L82+E51</f>
        <v>174</v>
      </c>
      <c r="K51" s="18"/>
    </row>
    <row r="52" spans="1:11" x14ac:dyDescent="0.25">
      <c r="A52" s="18"/>
      <c r="B52" s="135">
        <f>COTIZADOR!E83</f>
        <v>48</v>
      </c>
      <c r="C52" s="136">
        <f>COTIZADOR!F83</f>
        <v>0</v>
      </c>
      <c r="D52" s="136">
        <f>COTIZADOR!G83</f>
        <v>0</v>
      </c>
      <c r="E52" s="136">
        <f>IF(COTIZADOR!$G$301="LIQUIDEZ HIPOTECARIA",D52*16%,0)</f>
        <v>0</v>
      </c>
      <c r="F52" s="136">
        <f>COTIZADOR!H83</f>
        <v>0</v>
      </c>
      <c r="G52" s="136">
        <f>COTIZADOR!I83</f>
        <v>0</v>
      </c>
      <c r="H52" s="136">
        <f>COTIZADOR!J83</f>
        <v>0</v>
      </c>
      <c r="I52" s="136">
        <f>COTIZADOR!K83</f>
        <v>174</v>
      </c>
      <c r="J52" s="137">
        <f>COTIZADOR!L83+E52</f>
        <v>174</v>
      </c>
      <c r="K52" s="18"/>
    </row>
    <row r="53" spans="1:11" x14ac:dyDescent="0.25">
      <c r="A53" s="18"/>
      <c r="B53" s="135">
        <f>COTIZADOR!E84</f>
        <v>49</v>
      </c>
      <c r="C53" s="136">
        <f>COTIZADOR!F84</f>
        <v>0</v>
      </c>
      <c r="D53" s="136">
        <f>COTIZADOR!G84</f>
        <v>0</v>
      </c>
      <c r="E53" s="136">
        <f>IF(COTIZADOR!$G$301="LIQUIDEZ HIPOTECARIA",D53*16%,0)</f>
        <v>0</v>
      </c>
      <c r="F53" s="136">
        <f>COTIZADOR!H84</f>
        <v>0</v>
      </c>
      <c r="G53" s="136">
        <f>COTIZADOR!I84</f>
        <v>0</v>
      </c>
      <c r="H53" s="136">
        <f>COTIZADOR!J84</f>
        <v>0</v>
      </c>
      <c r="I53" s="136">
        <f>COTIZADOR!K84</f>
        <v>174</v>
      </c>
      <c r="J53" s="137">
        <f>COTIZADOR!L84+E53</f>
        <v>174</v>
      </c>
      <c r="K53" s="18"/>
    </row>
    <row r="54" spans="1:11" x14ac:dyDescent="0.25">
      <c r="A54" s="18"/>
      <c r="B54" s="135">
        <f>COTIZADOR!E85</f>
        <v>50</v>
      </c>
      <c r="C54" s="136">
        <f>COTIZADOR!F85</f>
        <v>0</v>
      </c>
      <c r="D54" s="136">
        <f>COTIZADOR!G85</f>
        <v>0</v>
      </c>
      <c r="E54" s="136">
        <f>IF(COTIZADOR!$G$301="LIQUIDEZ HIPOTECARIA",D54*16%,0)</f>
        <v>0</v>
      </c>
      <c r="F54" s="136">
        <f>COTIZADOR!H85</f>
        <v>0</v>
      </c>
      <c r="G54" s="136">
        <f>COTIZADOR!I85</f>
        <v>0</v>
      </c>
      <c r="H54" s="136">
        <f>COTIZADOR!J85</f>
        <v>0</v>
      </c>
      <c r="I54" s="136">
        <f>COTIZADOR!K85</f>
        <v>174</v>
      </c>
      <c r="J54" s="137">
        <f>COTIZADOR!L85+E54</f>
        <v>174</v>
      </c>
      <c r="K54" s="18"/>
    </row>
    <row r="55" spans="1:11" x14ac:dyDescent="0.25">
      <c r="A55" s="18"/>
      <c r="B55" s="135">
        <f>COTIZADOR!E86</f>
        <v>51</v>
      </c>
      <c r="C55" s="136">
        <f>COTIZADOR!F86</f>
        <v>0</v>
      </c>
      <c r="D55" s="136">
        <f>COTIZADOR!G86</f>
        <v>0</v>
      </c>
      <c r="E55" s="136">
        <f>IF(COTIZADOR!$G$301="LIQUIDEZ HIPOTECARIA",D55*16%,0)</f>
        <v>0</v>
      </c>
      <c r="F55" s="136">
        <f>COTIZADOR!H86</f>
        <v>0</v>
      </c>
      <c r="G55" s="136">
        <f>COTIZADOR!I86</f>
        <v>0</v>
      </c>
      <c r="H55" s="136">
        <f>COTIZADOR!J86</f>
        <v>0</v>
      </c>
      <c r="I55" s="136">
        <f>COTIZADOR!K86</f>
        <v>174</v>
      </c>
      <c r="J55" s="137">
        <f>COTIZADOR!L86+E55</f>
        <v>174</v>
      </c>
      <c r="K55" s="18"/>
    </row>
    <row r="56" spans="1:11" x14ac:dyDescent="0.25">
      <c r="A56" s="18"/>
      <c r="B56" s="135">
        <f>COTIZADOR!E87</f>
        <v>52</v>
      </c>
      <c r="C56" s="136">
        <f>COTIZADOR!F87</f>
        <v>0</v>
      </c>
      <c r="D56" s="136">
        <f>COTIZADOR!G87</f>
        <v>0</v>
      </c>
      <c r="E56" s="136">
        <f>IF(COTIZADOR!$G$301="LIQUIDEZ HIPOTECARIA",D56*16%,0)</f>
        <v>0</v>
      </c>
      <c r="F56" s="136">
        <f>COTIZADOR!H87</f>
        <v>0</v>
      </c>
      <c r="G56" s="136">
        <f>COTIZADOR!I87</f>
        <v>0</v>
      </c>
      <c r="H56" s="136">
        <f>COTIZADOR!J87</f>
        <v>0</v>
      </c>
      <c r="I56" s="136">
        <f>COTIZADOR!K87</f>
        <v>174</v>
      </c>
      <c r="J56" s="137">
        <f>COTIZADOR!L87+E56</f>
        <v>174</v>
      </c>
      <c r="K56" s="18"/>
    </row>
    <row r="57" spans="1:11" x14ac:dyDescent="0.25">
      <c r="A57" s="18"/>
      <c r="B57" s="135">
        <f>COTIZADOR!E88</f>
        <v>53</v>
      </c>
      <c r="C57" s="136">
        <f>COTIZADOR!F88</f>
        <v>0</v>
      </c>
      <c r="D57" s="136">
        <f>COTIZADOR!G88</f>
        <v>0</v>
      </c>
      <c r="E57" s="136">
        <f>IF(COTIZADOR!$G$301="LIQUIDEZ HIPOTECARIA",D57*16%,0)</f>
        <v>0</v>
      </c>
      <c r="F57" s="136">
        <f>COTIZADOR!H88</f>
        <v>0</v>
      </c>
      <c r="G57" s="136">
        <f>COTIZADOR!I88</f>
        <v>0</v>
      </c>
      <c r="H57" s="136">
        <f>COTIZADOR!J88</f>
        <v>0</v>
      </c>
      <c r="I57" s="136">
        <f>COTIZADOR!K88</f>
        <v>174</v>
      </c>
      <c r="J57" s="137">
        <f>COTIZADOR!L88+E57</f>
        <v>174</v>
      </c>
      <c r="K57" s="18"/>
    </row>
    <row r="58" spans="1:11" x14ac:dyDescent="0.25">
      <c r="A58" s="18"/>
      <c r="B58" s="135">
        <f>COTIZADOR!E89</f>
        <v>54</v>
      </c>
      <c r="C58" s="136">
        <f>COTIZADOR!F89</f>
        <v>0</v>
      </c>
      <c r="D58" s="136">
        <f>COTIZADOR!G89</f>
        <v>0</v>
      </c>
      <c r="E58" s="136">
        <f>IF(COTIZADOR!$G$301="LIQUIDEZ HIPOTECARIA",D58*16%,0)</f>
        <v>0</v>
      </c>
      <c r="F58" s="136">
        <f>COTIZADOR!H89</f>
        <v>0</v>
      </c>
      <c r="G58" s="136">
        <f>COTIZADOR!I89</f>
        <v>0</v>
      </c>
      <c r="H58" s="136">
        <f>COTIZADOR!J89</f>
        <v>0</v>
      </c>
      <c r="I58" s="136">
        <f>COTIZADOR!K89</f>
        <v>174</v>
      </c>
      <c r="J58" s="137">
        <f>COTIZADOR!L89+E58</f>
        <v>174</v>
      </c>
      <c r="K58" s="18"/>
    </row>
    <row r="59" spans="1:11" x14ac:dyDescent="0.25">
      <c r="A59" s="18"/>
      <c r="B59" s="135">
        <f>COTIZADOR!E90</f>
        <v>55</v>
      </c>
      <c r="C59" s="136">
        <f>COTIZADOR!F90</f>
        <v>0</v>
      </c>
      <c r="D59" s="136">
        <f>COTIZADOR!G90</f>
        <v>0</v>
      </c>
      <c r="E59" s="136">
        <f>IF(COTIZADOR!$G$301="LIQUIDEZ HIPOTECARIA",D59*16%,0)</f>
        <v>0</v>
      </c>
      <c r="F59" s="136">
        <f>COTIZADOR!H90</f>
        <v>0</v>
      </c>
      <c r="G59" s="136">
        <f>COTIZADOR!I90</f>
        <v>0</v>
      </c>
      <c r="H59" s="136">
        <f>COTIZADOR!J90</f>
        <v>0</v>
      </c>
      <c r="I59" s="136">
        <f>COTIZADOR!K90</f>
        <v>174</v>
      </c>
      <c r="J59" s="137">
        <f>COTIZADOR!L90+E59</f>
        <v>174</v>
      </c>
      <c r="K59" s="18"/>
    </row>
    <row r="60" spans="1:11" x14ac:dyDescent="0.25">
      <c r="A60" s="18"/>
      <c r="B60" s="135">
        <f>COTIZADOR!E91</f>
        <v>56</v>
      </c>
      <c r="C60" s="136">
        <f>COTIZADOR!F91</f>
        <v>0</v>
      </c>
      <c r="D60" s="136">
        <f>COTIZADOR!G91</f>
        <v>0</v>
      </c>
      <c r="E60" s="136">
        <f>IF(COTIZADOR!$G$301="LIQUIDEZ HIPOTECARIA",D60*16%,0)</f>
        <v>0</v>
      </c>
      <c r="F60" s="136">
        <f>COTIZADOR!H91</f>
        <v>0</v>
      </c>
      <c r="G60" s="136">
        <f>COTIZADOR!I91</f>
        <v>0</v>
      </c>
      <c r="H60" s="136">
        <f>COTIZADOR!J91</f>
        <v>0</v>
      </c>
      <c r="I60" s="136">
        <f>COTIZADOR!K91</f>
        <v>174</v>
      </c>
      <c r="J60" s="137">
        <f>COTIZADOR!L91+E60</f>
        <v>174</v>
      </c>
      <c r="K60" s="18"/>
    </row>
    <row r="61" spans="1:11" x14ac:dyDescent="0.25">
      <c r="A61" s="18"/>
      <c r="B61" s="135">
        <f>COTIZADOR!E92</f>
        <v>57</v>
      </c>
      <c r="C61" s="136">
        <f>COTIZADOR!F92</f>
        <v>0</v>
      </c>
      <c r="D61" s="136">
        <f>COTIZADOR!G92</f>
        <v>0</v>
      </c>
      <c r="E61" s="136">
        <f>IF(COTIZADOR!$G$301="LIQUIDEZ HIPOTECARIA",D61*16%,0)</f>
        <v>0</v>
      </c>
      <c r="F61" s="136">
        <f>COTIZADOR!H92</f>
        <v>0</v>
      </c>
      <c r="G61" s="136">
        <f>COTIZADOR!I92</f>
        <v>0</v>
      </c>
      <c r="H61" s="136">
        <f>COTIZADOR!J92</f>
        <v>0</v>
      </c>
      <c r="I61" s="136">
        <f>COTIZADOR!K92</f>
        <v>174</v>
      </c>
      <c r="J61" s="137">
        <f>COTIZADOR!L92+E61</f>
        <v>174</v>
      </c>
      <c r="K61" s="18"/>
    </row>
    <row r="62" spans="1:11" x14ac:dyDescent="0.25">
      <c r="A62" s="18"/>
      <c r="B62" s="135">
        <f>COTIZADOR!E93</f>
        <v>58</v>
      </c>
      <c r="C62" s="136">
        <f>COTIZADOR!F93</f>
        <v>0</v>
      </c>
      <c r="D62" s="136">
        <f>COTIZADOR!G93</f>
        <v>0</v>
      </c>
      <c r="E62" s="136">
        <f>IF(COTIZADOR!$G$301="LIQUIDEZ HIPOTECARIA",D62*16%,0)</f>
        <v>0</v>
      </c>
      <c r="F62" s="136">
        <f>COTIZADOR!H93</f>
        <v>0</v>
      </c>
      <c r="G62" s="136">
        <f>COTIZADOR!I93</f>
        <v>0</v>
      </c>
      <c r="H62" s="136">
        <f>COTIZADOR!J93</f>
        <v>0</v>
      </c>
      <c r="I62" s="136">
        <f>COTIZADOR!K93</f>
        <v>174</v>
      </c>
      <c r="J62" s="137">
        <f>COTIZADOR!L93+E62</f>
        <v>174</v>
      </c>
      <c r="K62" s="18"/>
    </row>
    <row r="63" spans="1:11" x14ac:dyDescent="0.25">
      <c r="A63" s="18"/>
      <c r="B63" s="135">
        <f>COTIZADOR!E94</f>
        <v>59</v>
      </c>
      <c r="C63" s="136">
        <f>COTIZADOR!F94</f>
        <v>0</v>
      </c>
      <c r="D63" s="136">
        <f>COTIZADOR!G94</f>
        <v>0</v>
      </c>
      <c r="E63" s="136">
        <f>IF(COTIZADOR!$G$301="LIQUIDEZ HIPOTECARIA",D63*16%,0)</f>
        <v>0</v>
      </c>
      <c r="F63" s="136">
        <f>COTIZADOR!H94</f>
        <v>0</v>
      </c>
      <c r="G63" s="136">
        <f>COTIZADOR!I94</f>
        <v>0</v>
      </c>
      <c r="H63" s="136">
        <f>COTIZADOR!J94</f>
        <v>0</v>
      </c>
      <c r="I63" s="136">
        <f>COTIZADOR!K94</f>
        <v>174</v>
      </c>
      <c r="J63" s="137">
        <f>COTIZADOR!L94+E63</f>
        <v>174</v>
      </c>
      <c r="K63" s="18"/>
    </row>
    <row r="64" spans="1:11" x14ac:dyDescent="0.25">
      <c r="A64" s="18"/>
      <c r="B64" s="135">
        <f>COTIZADOR!E95</f>
        <v>60</v>
      </c>
      <c r="C64" s="136">
        <f>COTIZADOR!F95</f>
        <v>0</v>
      </c>
      <c r="D64" s="136">
        <f>COTIZADOR!G95</f>
        <v>0</v>
      </c>
      <c r="E64" s="136">
        <f>IF(COTIZADOR!$G$301="LIQUIDEZ HIPOTECARIA",D64*16%,0)</f>
        <v>0</v>
      </c>
      <c r="F64" s="136">
        <f>COTIZADOR!H95</f>
        <v>0</v>
      </c>
      <c r="G64" s="136">
        <f>COTIZADOR!I95</f>
        <v>0</v>
      </c>
      <c r="H64" s="136">
        <f>COTIZADOR!J95</f>
        <v>0</v>
      </c>
      <c r="I64" s="136">
        <f>COTIZADOR!K95</f>
        <v>174</v>
      </c>
      <c r="J64" s="137">
        <f>COTIZADOR!L95+E64</f>
        <v>174</v>
      </c>
      <c r="K64" s="18"/>
    </row>
    <row r="65" spans="1:11" x14ac:dyDescent="0.25">
      <c r="A65" s="18"/>
      <c r="B65" s="135">
        <f>COTIZADOR!E96</f>
        <v>61</v>
      </c>
      <c r="C65" s="136">
        <f>COTIZADOR!F96</f>
        <v>0</v>
      </c>
      <c r="D65" s="136">
        <f>COTIZADOR!G96</f>
        <v>0</v>
      </c>
      <c r="E65" s="136">
        <f>IF(COTIZADOR!$G$301="LIQUIDEZ HIPOTECARIA",D65*16%,0)</f>
        <v>0</v>
      </c>
      <c r="F65" s="136">
        <f>COTIZADOR!H96</f>
        <v>0</v>
      </c>
      <c r="G65" s="136">
        <f>COTIZADOR!I96</f>
        <v>0</v>
      </c>
      <c r="H65" s="136">
        <f>COTIZADOR!J96</f>
        <v>0</v>
      </c>
      <c r="I65" s="136">
        <f>COTIZADOR!K96</f>
        <v>174</v>
      </c>
      <c r="J65" s="137">
        <f>COTIZADOR!L96+E65</f>
        <v>174</v>
      </c>
      <c r="K65" s="18"/>
    </row>
    <row r="66" spans="1:11" x14ac:dyDescent="0.25">
      <c r="A66" s="18"/>
      <c r="B66" s="135">
        <f>COTIZADOR!E97</f>
        <v>62</v>
      </c>
      <c r="C66" s="136">
        <f>COTIZADOR!F97</f>
        <v>0</v>
      </c>
      <c r="D66" s="136">
        <f>COTIZADOR!G97</f>
        <v>0</v>
      </c>
      <c r="E66" s="136">
        <f>IF(COTIZADOR!$G$301="LIQUIDEZ HIPOTECARIA",D66*16%,0)</f>
        <v>0</v>
      </c>
      <c r="F66" s="136">
        <f>COTIZADOR!H97</f>
        <v>0</v>
      </c>
      <c r="G66" s="136">
        <f>COTIZADOR!I97</f>
        <v>0</v>
      </c>
      <c r="H66" s="136">
        <f>COTIZADOR!J97</f>
        <v>0</v>
      </c>
      <c r="I66" s="136">
        <f>COTIZADOR!K97</f>
        <v>174</v>
      </c>
      <c r="J66" s="137">
        <f>COTIZADOR!L97+E66</f>
        <v>174</v>
      </c>
      <c r="K66" s="18"/>
    </row>
    <row r="67" spans="1:11" x14ac:dyDescent="0.25">
      <c r="A67" s="18"/>
      <c r="B67" s="135">
        <f>COTIZADOR!E98</f>
        <v>63</v>
      </c>
      <c r="C67" s="136">
        <f>COTIZADOR!F98</f>
        <v>0</v>
      </c>
      <c r="D67" s="136">
        <f>COTIZADOR!G98</f>
        <v>0</v>
      </c>
      <c r="E67" s="136">
        <f>IF(COTIZADOR!$G$301="LIQUIDEZ HIPOTECARIA",D67*16%,0)</f>
        <v>0</v>
      </c>
      <c r="F67" s="136">
        <f>COTIZADOR!H98</f>
        <v>0</v>
      </c>
      <c r="G67" s="136">
        <f>COTIZADOR!I98</f>
        <v>0</v>
      </c>
      <c r="H67" s="136">
        <f>COTIZADOR!J98</f>
        <v>0</v>
      </c>
      <c r="I67" s="136">
        <f>COTIZADOR!K98</f>
        <v>174</v>
      </c>
      <c r="J67" s="137">
        <f>COTIZADOR!L98+E67</f>
        <v>174</v>
      </c>
      <c r="K67" s="18"/>
    </row>
    <row r="68" spans="1:11" x14ac:dyDescent="0.25">
      <c r="A68" s="18"/>
      <c r="B68" s="135">
        <f>COTIZADOR!E99</f>
        <v>64</v>
      </c>
      <c r="C68" s="136">
        <f>COTIZADOR!F99</f>
        <v>0</v>
      </c>
      <c r="D68" s="136">
        <f>COTIZADOR!G99</f>
        <v>0</v>
      </c>
      <c r="E68" s="136">
        <f>IF(COTIZADOR!$G$301="LIQUIDEZ HIPOTECARIA",D68*16%,0)</f>
        <v>0</v>
      </c>
      <c r="F68" s="136">
        <f>COTIZADOR!H99</f>
        <v>0</v>
      </c>
      <c r="G68" s="136">
        <f>COTIZADOR!I99</f>
        <v>0</v>
      </c>
      <c r="H68" s="136">
        <f>COTIZADOR!J99</f>
        <v>0</v>
      </c>
      <c r="I68" s="136">
        <f>COTIZADOR!K99</f>
        <v>174</v>
      </c>
      <c r="J68" s="137">
        <f>COTIZADOR!L99+E68</f>
        <v>174</v>
      </c>
      <c r="K68" s="18"/>
    </row>
    <row r="69" spans="1:11" x14ac:dyDescent="0.25">
      <c r="A69" s="18"/>
      <c r="B69" s="135">
        <f>COTIZADOR!E100</f>
        <v>65</v>
      </c>
      <c r="C69" s="136">
        <f>COTIZADOR!F100</f>
        <v>0</v>
      </c>
      <c r="D69" s="136">
        <f>COTIZADOR!G100</f>
        <v>0</v>
      </c>
      <c r="E69" s="136">
        <f>IF(COTIZADOR!$G$301="LIQUIDEZ HIPOTECARIA",D69*16%,0)</f>
        <v>0</v>
      </c>
      <c r="F69" s="136">
        <f>COTIZADOR!H100</f>
        <v>0</v>
      </c>
      <c r="G69" s="136">
        <f>COTIZADOR!I100</f>
        <v>0</v>
      </c>
      <c r="H69" s="136">
        <f>COTIZADOR!J100</f>
        <v>0</v>
      </c>
      <c r="I69" s="136">
        <f>COTIZADOR!K100</f>
        <v>174</v>
      </c>
      <c r="J69" s="137">
        <f>COTIZADOR!L100+E69</f>
        <v>174</v>
      </c>
      <c r="K69" s="18"/>
    </row>
    <row r="70" spans="1:11" x14ac:dyDescent="0.25">
      <c r="A70" s="18"/>
      <c r="B70" s="135">
        <f>COTIZADOR!E101</f>
        <v>66</v>
      </c>
      <c r="C70" s="136">
        <f>COTIZADOR!F101</f>
        <v>0</v>
      </c>
      <c r="D70" s="136">
        <f>COTIZADOR!G101</f>
        <v>0</v>
      </c>
      <c r="E70" s="136">
        <f>IF(COTIZADOR!$G$301="LIQUIDEZ HIPOTECARIA",D70*16%,0)</f>
        <v>0</v>
      </c>
      <c r="F70" s="136">
        <f>COTIZADOR!H101</f>
        <v>0</v>
      </c>
      <c r="G70" s="136">
        <f>COTIZADOR!I101</f>
        <v>0</v>
      </c>
      <c r="H70" s="136">
        <f>COTIZADOR!J101</f>
        <v>0</v>
      </c>
      <c r="I70" s="136">
        <f>COTIZADOR!K101</f>
        <v>174</v>
      </c>
      <c r="J70" s="137">
        <f>COTIZADOR!L101+E70</f>
        <v>174</v>
      </c>
      <c r="K70" s="18"/>
    </row>
    <row r="71" spans="1:11" x14ac:dyDescent="0.25">
      <c r="A71" s="18"/>
      <c r="B71" s="135">
        <f>COTIZADOR!E102</f>
        <v>67</v>
      </c>
      <c r="C71" s="136">
        <f>COTIZADOR!F102</f>
        <v>0</v>
      </c>
      <c r="D71" s="136">
        <f>COTIZADOR!G102</f>
        <v>0</v>
      </c>
      <c r="E71" s="136">
        <f>IF(COTIZADOR!$G$301="LIQUIDEZ HIPOTECARIA",D71*16%,0)</f>
        <v>0</v>
      </c>
      <c r="F71" s="136">
        <f>COTIZADOR!H102</f>
        <v>0</v>
      </c>
      <c r="G71" s="136">
        <f>COTIZADOR!I102</f>
        <v>0</v>
      </c>
      <c r="H71" s="136">
        <f>COTIZADOR!J102</f>
        <v>0</v>
      </c>
      <c r="I71" s="136">
        <f>COTIZADOR!K102</f>
        <v>174</v>
      </c>
      <c r="J71" s="137">
        <f>COTIZADOR!L102+E71</f>
        <v>174</v>
      </c>
      <c r="K71" s="18"/>
    </row>
    <row r="72" spans="1:11" x14ac:dyDescent="0.25">
      <c r="A72" s="18"/>
      <c r="B72" s="135">
        <f>COTIZADOR!E103</f>
        <v>68</v>
      </c>
      <c r="C72" s="136">
        <f>COTIZADOR!F103</f>
        <v>0</v>
      </c>
      <c r="D72" s="136">
        <f>COTIZADOR!G103</f>
        <v>0</v>
      </c>
      <c r="E72" s="136">
        <f>IF(COTIZADOR!$G$301="LIQUIDEZ HIPOTECARIA",D72*16%,0)</f>
        <v>0</v>
      </c>
      <c r="F72" s="136">
        <f>COTIZADOR!H103</f>
        <v>0</v>
      </c>
      <c r="G72" s="136">
        <f>COTIZADOR!I103</f>
        <v>0</v>
      </c>
      <c r="H72" s="136">
        <f>COTIZADOR!J103</f>
        <v>0</v>
      </c>
      <c r="I72" s="136">
        <f>COTIZADOR!K103</f>
        <v>174</v>
      </c>
      <c r="J72" s="137">
        <f>COTIZADOR!L103+E72</f>
        <v>174</v>
      </c>
      <c r="K72" s="18"/>
    </row>
    <row r="73" spans="1:11" x14ac:dyDescent="0.25">
      <c r="A73" s="18"/>
      <c r="B73" s="135">
        <f>COTIZADOR!E104</f>
        <v>69</v>
      </c>
      <c r="C73" s="136">
        <f>COTIZADOR!F104</f>
        <v>0</v>
      </c>
      <c r="D73" s="136">
        <f>COTIZADOR!G104</f>
        <v>0</v>
      </c>
      <c r="E73" s="136">
        <f>IF(COTIZADOR!$G$301="LIQUIDEZ HIPOTECARIA",D73*16%,0)</f>
        <v>0</v>
      </c>
      <c r="F73" s="136">
        <f>COTIZADOR!H104</f>
        <v>0</v>
      </c>
      <c r="G73" s="136">
        <f>COTIZADOR!I104</f>
        <v>0</v>
      </c>
      <c r="H73" s="136">
        <f>COTIZADOR!J104</f>
        <v>0</v>
      </c>
      <c r="I73" s="136">
        <f>COTIZADOR!K104</f>
        <v>174</v>
      </c>
      <c r="J73" s="137">
        <f>COTIZADOR!L104+E73</f>
        <v>174</v>
      </c>
      <c r="K73" s="18"/>
    </row>
    <row r="74" spans="1:11" x14ac:dyDescent="0.25">
      <c r="A74" s="18"/>
      <c r="B74" s="135">
        <f>COTIZADOR!E105</f>
        <v>70</v>
      </c>
      <c r="C74" s="136">
        <f>COTIZADOR!F105</f>
        <v>0</v>
      </c>
      <c r="D74" s="136">
        <f>COTIZADOR!G105</f>
        <v>0</v>
      </c>
      <c r="E74" s="136">
        <f>IF(COTIZADOR!$G$301="LIQUIDEZ HIPOTECARIA",D74*16%,0)</f>
        <v>0</v>
      </c>
      <c r="F74" s="136">
        <f>COTIZADOR!H105</f>
        <v>0</v>
      </c>
      <c r="G74" s="136">
        <f>COTIZADOR!I105</f>
        <v>0</v>
      </c>
      <c r="H74" s="136">
        <f>COTIZADOR!J105</f>
        <v>0</v>
      </c>
      <c r="I74" s="136">
        <f>COTIZADOR!K105</f>
        <v>174</v>
      </c>
      <c r="J74" s="137">
        <f>COTIZADOR!L105+E74</f>
        <v>174</v>
      </c>
      <c r="K74" s="18"/>
    </row>
    <row r="75" spans="1:11" x14ac:dyDescent="0.25">
      <c r="A75" s="18"/>
      <c r="B75" s="135">
        <f>COTIZADOR!E106</f>
        <v>71</v>
      </c>
      <c r="C75" s="136">
        <f>COTIZADOR!F106</f>
        <v>0</v>
      </c>
      <c r="D75" s="136">
        <f>COTIZADOR!G106</f>
        <v>0</v>
      </c>
      <c r="E75" s="136">
        <f>IF(COTIZADOR!$G$301="LIQUIDEZ HIPOTECARIA",D75*16%,0)</f>
        <v>0</v>
      </c>
      <c r="F75" s="136">
        <f>COTIZADOR!H106</f>
        <v>0</v>
      </c>
      <c r="G75" s="136">
        <f>COTIZADOR!I106</f>
        <v>0</v>
      </c>
      <c r="H75" s="136">
        <f>COTIZADOR!J106</f>
        <v>0</v>
      </c>
      <c r="I75" s="136">
        <f>COTIZADOR!K106</f>
        <v>174</v>
      </c>
      <c r="J75" s="137">
        <f>COTIZADOR!L106+E75</f>
        <v>174</v>
      </c>
      <c r="K75" s="18"/>
    </row>
    <row r="76" spans="1:11" x14ac:dyDescent="0.25">
      <c r="A76" s="18"/>
      <c r="B76" s="135">
        <f>COTIZADOR!E107</f>
        <v>72</v>
      </c>
      <c r="C76" s="136">
        <f>COTIZADOR!F107</f>
        <v>0</v>
      </c>
      <c r="D76" s="136">
        <f>COTIZADOR!G107</f>
        <v>0</v>
      </c>
      <c r="E76" s="136">
        <f>IF(COTIZADOR!$G$301="LIQUIDEZ HIPOTECARIA",D76*16%,0)</f>
        <v>0</v>
      </c>
      <c r="F76" s="136">
        <f>COTIZADOR!H107</f>
        <v>0</v>
      </c>
      <c r="G76" s="136">
        <f>COTIZADOR!I107</f>
        <v>0</v>
      </c>
      <c r="H76" s="136">
        <f>COTIZADOR!J107</f>
        <v>0</v>
      </c>
      <c r="I76" s="136">
        <f>COTIZADOR!K107</f>
        <v>174</v>
      </c>
      <c r="J76" s="137">
        <f>COTIZADOR!L107+E76</f>
        <v>174</v>
      </c>
      <c r="K76" s="18"/>
    </row>
    <row r="77" spans="1:11" x14ac:dyDescent="0.25">
      <c r="A77" s="18"/>
      <c r="B77" s="135">
        <f>COTIZADOR!E108</f>
        <v>73</v>
      </c>
      <c r="C77" s="136">
        <f>COTIZADOR!F108</f>
        <v>0</v>
      </c>
      <c r="D77" s="136">
        <f>COTIZADOR!G108</f>
        <v>0</v>
      </c>
      <c r="E77" s="136">
        <f>IF(COTIZADOR!$G$301="LIQUIDEZ HIPOTECARIA",D77*16%,0)</f>
        <v>0</v>
      </c>
      <c r="F77" s="136">
        <f>COTIZADOR!H108</f>
        <v>0</v>
      </c>
      <c r="G77" s="136">
        <f>COTIZADOR!I108</f>
        <v>0</v>
      </c>
      <c r="H77" s="136">
        <f>COTIZADOR!J108</f>
        <v>0</v>
      </c>
      <c r="I77" s="136">
        <f>COTIZADOR!K108</f>
        <v>174</v>
      </c>
      <c r="J77" s="137">
        <f>COTIZADOR!L108+E77</f>
        <v>174</v>
      </c>
      <c r="K77" s="18"/>
    </row>
    <row r="78" spans="1:11" x14ac:dyDescent="0.25">
      <c r="A78" s="18"/>
      <c r="B78" s="135">
        <f>COTIZADOR!E109</f>
        <v>74</v>
      </c>
      <c r="C78" s="136">
        <f>COTIZADOR!F109</f>
        <v>0</v>
      </c>
      <c r="D78" s="136">
        <f>COTIZADOR!G109</f>
        <v>0</v>
      </c>
      <c r="E78" s="136">
        <f>IF(COTIZADOR!$G$301="LIQUIDEZ HIPOTECARIA",D78*16%,0)</f>
        <v>0</v>
      </c>
      <c r="F78" s="136">
        <f>COTIZADOR!H109</f>
        <v>0</v>
      </c>
      <c r="G78" s="136">
        <f>COTIZADOR!I109</f>
        <v>0</v>
      </c>
      <c r="H78" s="136">
        <f>COTIZADOR!J109</f>
        <v>0</v>
      </c>
      <c r="I78" s="136">
        <f>COTIZADOR!K109</f>
        <v>174</v>
      </c>
      <c r="J78" s="137">
        <f>COTIZADOR!L109+E78</f>
        <v>174</v>
      </c>
      <c r="K78" s="18"/>
    </row>
    <row r="79" spans="1:11" x14ac:dyDescent="0.25">
      <c r="A79" s="18"/>
      <c r="B79" s="135">
        <f>COTIZADOR!E110</f>
        <v>75</v>
      </c>
      <c r="C79" s="136">
        <f>COTIZADOR!F110</f>
        <v>0</v>
      </c>
      <c r="D79" s="136">
        <f>COTIZADOR!G110</f>
        <v>0</v>
      </c>
      <c r="E79" s="136">
        <f>IF(COTIZADOR!$G$301="LIQUIDEZ HIPOTECARIA",D79*16%,0)</f>
        <v>0</v>
      </c>
      <c r="F79" s="136">
        <f>COTIZADOR!H110</f>
        <v>0</v>
      </c>
      <c r="G79" s="136">
        <f>COTIZADOR!I110</f>
        <v>0</v>
      </c>
      <c r="H79" s="136">
        <f>COTIZADOR!J110</f>
        <v>0</v>
      </c>
      <c r="I79" s="136">
        <f>COTIZADOR!K110</f>
        <v>174</v>
      </c>
      <c r="J79" s="137">
        <f>COTIZADOR!L110+E79</f>
        <v>174</v>
      </c>
      <c r="K79" s="18"/>
    </row>
    <row r="80" spans="1:11" x14ac:dyDescent="0.25">
      <c r="A80" s="18"/>
      <c r="B80" s="135">
        <f>COTIZADOR!E111</f>
        <v>76</v>
      </c>
      <c r="C80" s="136">
        <f>COTIZADOR!F111</f>
        <v>0</v>
      </c>
      <c r="D80" s="136">
        <f>COTIZADOR!G111</f>
        <v>0</v>
      </c>
      <c r="E80" s="136">
        <f>IF(COTIZADOR!$G$301="LIQUIDEZ HIPOTECARIA",D80*16%,0)</f>
        <v>0</v>
      </c>
      <c r="F80" s="136">
        <f>COTIZADOR!H111</f>
        <v>0</v>
      </c>
      <c r="G80" s="136">
        <f>COTIZADOR!I111</f>
        <v>0</v>
      </c>
      <c r="H80" s="136">
        <f>COTIZADOR!J111</f>
        <v>0</v>
      </c>
      <c r="I80" s="136">
        <f>COTIZADOR!K111</f>
        <v>174</v>
      </c>
      <c r="J80" s="137">
        <f>COTIZADOR!L111+E80</f>
        <v>174</v>
      </c>
      <c r="K80" s="18"/>
    </row>
    <row r="81" spans="1:11" x14ac:dyDescent="0.25">
      <c r="A81" s="18"/>
      <c r="B81" s="135">
        <f>COTIZADOR!E112</f>
        <v>77</v>
      </c>
      <c r="C81" s="136">
        <f>COTIZADOR!F112</f>
        <v>0</v>
      </c>
      <c r="D81" s="136">
        <f>COTIZADOR!G112</f>
        <v>0</v>
      </c>
      <c r="E81" s="136">
        <f>IF(COTIZADOR!$G$301="LIQUIDEZ HIPOTECARIA",D81*16%,0)</f>
        <v>0</v>
      </c>
      <c r="F81" s="136">
        <f>COTIZADOR!H112</f>
        <v>0</v>
      </c>
      <c r="G81" s="136">
        <f>COTIZADOR!I112</f>
        <v>0</v>
      </c>
      <c r="H81" s="136">
        <f>COTIZADOR!J112</f>
        <v>0</v>
      </c>
      <c r="I81" s="136">
        <f>COTIZADOR!K112</f>
        <v>174</v>
      </c>
      <c r="J81" s="137">
        <f>COTIZADOR!L112+E81</f>
        <v>174</v>
      </c>
      <c r="K81" s="18"/>
    </row>
    <row r="82" spans="1:11" x14ac:dyDescent="0.25">
      <c r="A82" s="18"/>
      <c r="B82" s="135">
        <f>COTIZADOR!E113</f>
        <v>78</v>
      </c>
      <c r="C82" s="136">
        <f>COTIZADOR!F113</f>
        <v>0</v>
      </c>
      <c r="D82" s="136">
        <f>COTIZADOR!G113</f>
        <v>0</v>
      </c>
      <c r="E82" s="136">
        <f>IF(COTIZADOR!$G$301="LIQUIDEZ HIPOTECARIA",D82*16%,0)</f>
        <v>0</v>
      </c>
      <c r="F82" s="136">
        <f>COTIZADOR!H113</f>
        <v>0</v>
      </c>
      <c r="G82" s="136">
        <f>COTIZADOR!I113</f>
        <v>0</v>
      </c>
      <c r="H82" s="136">
        <f>COTIZADOR!J113</f>
        <v>0</v>
      </c>
      <c r="I82" s="136">
        <f>COTIZADOR!K113</f>
        <v>174</v>
      </c>
      <c r="J82" s="137">
        <f>COTIZADOR!L113+E82</f>
        <v>174</v>
      </c>
      <c r="K82" s="18"/>
    </row>
    <row r="83" spans="1:11" x14ac:dyDescent="0.25">
      <c r="A83" s="18"/>
      <c r="B83" s="135">
        <f>COTIZADOR!E114</f>
        <v>79</v>
      </c>
      <c r="C83" s="136">
        <f>COTIZADOR!F114</f>
        <v>0</v>
      </c>
      <c r="D83" s="136">
        <f>COTIZADOR!G114</f>
        <v>0</v>
      </c>
      <c r="E83" s="136">
        <f>IF(COTIZADOR!$G$301="LIQUIDEZ HIPOTECARIA",D83*16%,0)</f>
        <v>0</v>
      </c>
      <c r="F83" s="136">
        <f>COTIZADOR!H114</f>
        <v>0</v>
      </c>
      <c r="G83" s="136">
        <f>COTIZADOR!I114</f>
        <v>0</v>
      </c>
      <c r="H83" s="136">
        <f>COTIZADOR!J114</f>
        <v>0</v>
      </c>
      <c r="I83" s="136">
        <f>COTIZADOR!K114</f>
        <v>174</v>
      </c>
      <c r="J83" s="137">
        <f>COTIZADOR!L114+E83</f>
        <v>174</v>
      </c>
      <c r="K83" s="18"/>
    </row>
    <row r="84" spans="1:11" x14ac:dyDescent="0.25">
      <c r="A84" s="18"/>
      <c r="B84" s="135">
        <f>COTIZADOR!E115</f>
        <v>80</v>
      </c>
      <c r="C84" s="136">
        <f>COTIZADOR!F115</f>
        <v>0</v>
      </c>
      <c r="D84" s="136">
        <f>COTIZADOR!G115</f>
        <v>0</v>
      </c>
      <c r="E84" s="136">
        <f>IF(COTIZADOR!$G$301="LIQUIDEZ HIPOTECARIA",D84*16%,0)</f>
        <v>0</v>
      </c>
      <c r="F84" s="136">
        <f>COTIZADOR!H115</f>
        <v>0</v>
      </c>
      <c r="G84" s="136">
        <f>COTIZADOR!I115</f>
        <v>0</v>
      </c>
      <c r="H84" s="136">
        <f>COTIZADOR!J115</f>
        <v>0</v>
      </c>
      <c r="I84" s="136">
        <f>COTIZADOR!K115</f>
        <v>174</v>
      </c>
      <c r="J84" s="137">
        <f>COTIZADOR!L115+E84</f>
        <v>174</v>
      </c>
      <c r="K84" s="18"/>
    </row>
    <row r="85" spans="1:11" x14ac:dyDescent="0.25">
      <c r="A85" s="18"/>
      <c r="B85" s="135">
        <f>COTIZADOR!E116</f>
        <v>81</v>
      </c>
      <c r="C85" s="136">
        <f>COTIZADOR!F116</f>
        <v>0</v>
      </c>
      <c r="D85" s="136">
        <f>COTIZADOR!G116</f>
        <v>0</v>
      </c>
      <c r="E85" s="136">
        <f>IF(COTIZADOR!$G$301="LIQUIDEZ HIPOTECARIA",D85*16%,0)</f>
        <v>0</v>
      </c>
      <c r="F85" s="136">
        <f>COTIZADOR!H116</f>
        <v>0</v>
      </c>
      <c r="G85" s="136">
        <f>COTIZADOR!I116</f>
        <v>0</v>
      </c>
      <c r="H85" s="136">
        <f>COTIZADOR!J116</f>
        <v>0</v>
      </c>
      <c r="I85" s="136">
        <f>COTIZADOR!K116</f>
        <v>174</v>
      </c>
      <c r="J85" s="137">
        <f>COTIZADOR!L116+E85</f>
        <v>174</v>
      </c>
      <c r="K85" s="18"/>
    </row>
    <row r="86" spans="1:11" x14ac:dyDescent="0.25">
      <c r="A86" s="18"/>
      <c r="B86" s="135">
        <f>COTIZADOR!E117</f>
        <v>82</v>
      </c>
      <c r="C86" s="136">
        <f>COTIZADOR!F117</f>
        <v>0</v>
      </c>
      <c r="D86" s="136">
        <f>COTIZADOR!G117</f>
        <v>0</v>
      </c>
      <c r="E86" s="136">
        <f>IF(COTIZADOR!$G$301="LIQUIDEZ HIPOTECARIA",D86*16%,0)</f>
        <v>0</v>
      </c>
      <c r="F86" s="136">
        <f>COTIZADOR!H117</f>
        <v>0</v>
      </c>
      <c r="G86" s="136">
        <f>COTIZADOR!I117</f>
        <v>0</v>
      </c>
      <c r="H86" s="136">
        <f>COTIZADOR!J117</f>
        <v>0</v>
      </c>
      <c r="I86" s="136">
        <f>COTIZADOR!K117</f>
        <v>174</v>
      </c>
      <c r="J86" s="137">
        <f>COTIZADOR!L117+E86</f>
        <v>174</v>
      </c>
      <c r="K86" s="18"/>
    </row>
    <row r="87" spans="1:11" x14ac:dyDescent="0.25">
      <c r="A87" s="18"/>
      <c r="B87" s="135">
        <f>COTIZADOR!E118</f>
        <v>83</v>
      </c>
      <c r="C87" s="136">
        <f>COTIZADOR!F118</f>
        <v>0</v>
      </c>
      <c r="D87" s="136">
        <f>COTIZADOR!G118</f>
        <v>0</v>
      </c>
      <c r="E87" s="136">
        <f>IF(COTIZADOR!$G$301="LIQUIDEZ HIPOTECARIA",D87*16%,0)</f>
        <v>0</v>
      </c>
      <c r="F87" s="136">
        <f>COTIZADOR!H118</f>
        <v>0</v>
      </c>
      <c r="G87" s="136">
        <f>COTIZADOR!I118</f>
        <v>0</v>
      </c>
      <c r="H87" s="136">
        <f>COTIZADOR!J118</f>
        <v>0</v>
      </c>
      <c r="I87" s="136">
        <f>COTIZADOR!K118</f>
        <v>174</v>
      </c>
      <c r="J87" s="137">
        <f>COTIZADOR!L118+E87</f>
        <v>174</v>
      </c>
      <c r="K87" s="18"/>
    </row>
    <row r="88" spans="1:11" x14ac:dyDescent="0.25">
      <c r="A88" s="18"/>
      <c r="B88" s="135">
        <f>COTIZADOR!E119</f>
        <v>84</v>
      </c>
      <c r="C88" s="136">
        <f>COTIZADOR!F119</f>
        <v>0</v>
      </c>
      <c r="D88" s="136">
        <f>COTIZADOR!G119</f>
        <v>0</v>
      </c>
      <c r="E88" s="136">
        <f>IF(COTIZADOR!$G$301="LIQUIDEZ HIPOTECARIA",D88*16%,0)</f>
        <v>0</v>
      </c>
      <c r="F88" s="136">
        <f>COTIZADOR!H119</f>
        <v>0</v>
      </c>
      <c r="G88" s="136">
        <f>COTIZADOR!I119</f>
        <v>0</v>
      </c>
      <c r="H88" s="136">
        <f>COTIZADOR!J119</f>
        <v>0</v>
      </c>
      <c r="I88" s="136">
        <f>COTIZADOR!K119</f>
        <v>174</v>
      </c>
      <c r="J88" s="137">
        <f>COTIZADOR!L119+E88</f>
        <v>174</v>
      </c>
      <c r="K88" s="18"/>
    </row>
    <row r="89" spans="1:11" x14ac:dyDescent="0.25">
      <c r="A89" s="18"/>
      <c r="B89" s="135">
        <f>COTIZADOR!E120</f>
        <v>85</v>
      </c>
      <c r="C89" s="136">
        <f>COTIZADOR!F120</f>
        <v>0</v>
      </c>
      <c r="D89" s="136">
        <f>COTIZADOR!G120</f>
        <v>0</v>
      </c>
      <c r="E89" s="136">
        <f>IF(COTIZADOR!$G$301="LIQUIDEZ HIPOTECARIA",D89*16%,0)</f>
        <v>0</v>
      </c>
      <c r="F89" s="136">
        <f>COTIZADOR!H120</f>
        <v>0</v>
      </c>
      <c r="G89" s="136">
        <f>COTIZADOR!I120</f>
        <v>0</v>
      </c>
      <c r="H89" s="136">
        <f>COTIZADOR!J120</f>
        <v>0</v>
      </c>
      <c r="I89" s="136">
        <f>COTIZADOR!K120</f>
        <v>174</v>
      </c>
      <c r="J89" s="137">
        <f>COTIZADOR!L120+E89</f>
        <v>174</v>
      </c>
      <c r="K89" s="18"/>
    </row>
    <row r="90" spans="1:11" x14ac:dyDescent="0.25">
      <c r="A90" s="18"/>
      <c r="B90" s="135">
        <f>COTIZADOR!E121</f>
        <v>86</v>
      </c>
      <c r="C90" s="136">
        <f>COTIZADOR!F121</f>
        <v>0</v>
      </c>
      <c r="D90" s="136">
        <f>COTIZADOR!G121</f>
        <v>0</v>
      </c>
      <c r="E90" s="136">
        <f>IF(COTIZADOR!$G$301="LIQUIDEZ HIPOTECARIA",D90*16%,0)</f>
        <v>0</v>
      </c>
      <c r="F90" s="136">
        <f>COTIZADOR!H121</f>
        <v>0</v>
      </c>
      <c r="G90" s="136">
        <f>COTIZADOR!I121</f>
        <v>0</v>
      </c>
      <c r="H90" s="136">
        <f>COTIZADOR!J121</f>
        <v>0</v>
      </c>
      <c r="I90" s="136">
        <f>COTIZADOR!K121</f>
        <v>174</v>
      </c>
      <c r="J90" s="137">
        <f>COTIZADOR!L121+E90</f>
        <v>174</v>
      </c>
      <c r="K90" s="18"/>
    </row>
    <row r="91" spans="1:11" x14ac:dyDescent="0.25">
      <c r="A91" s="18"/>
      <c r="B91" s="135">
        <f>COTIZADOR!E122</f>
        <v>87</v>
      </c>
      <c r="C91" s="136">
        <f>COTIZADOR!F122</f>
        <v>0</v>
      </c>
      <c r="D91" s="136">
        <f>COTIZADOR!G122</f>
        <v>0</v>
      </c>
      <c r="E91" s="136">
        <f>IF(COTIZADOR!$G$301="LIQUIDEZ HIPOTECARIA",D91*16%,0)</f>
        <v>0</v>
      </c>
      <c r="F91" s="136">
        <f>COTIZADOR!H122</f>
        <v>0</v>
      </c>
      <c r="G91" s="136">
        <f>COTIZADOR!I122</f>
        <v>0</v>
      </c>
      <c r="H91" s="136">
        <f>COTIZADOR!J122</f>
        <v>0</v>
      </c>
      <c r="I91" s="136">
        <f>COTIZADOR!K122</f>
        <v>174</v>
      </c>
      <c r="J91" s="137">
        <f>COTIZADOR!L122+E91</f>
        <v>174</v>
      </c>
      <c r="K91" s="18"/>
    </row>
    <row r="92" spans="1:11" x14ac:dyDescent="0.25">
      <c r="A92" s="18"/>
      <c r="B92" s="135">
        <f>COTIZADOR!E123</f>
        <v>88</v>
      </c>
      <c r="C92" s="136">
        <f>COTIZADOR!F123</f>
        <v>0</v>
      </c>
      <c r="D92" s="136">
        <f>COTIZADOR!G123</f>
        <v>0</v>
      </c>
      <c r="E92" s="136">
        <f>IF(COTIZADOR!$G$301="LIQUIDEZ HIPOTECARIA",D92*16%,0)</f>
        <v>0</v>
      </c>
      <c r="F92" s="136">
        <f>COTIZADOR!H123</f>
        <v>0</v>
      </c>
      <c r="G92" s="136">
        <f>COTIZADOR!I123</f>
        <v>0</v>
      </c>
      <c r="H92" s="136">
        <f>COTIZADOR!J123</f>
        <v>0</v>
      </c>
      <c r="I92" s="136">
        <f>COTIZADOR!K123</f>
        <v>174</v>
      </c>
      <c r="J92" s="137">
        <f>COTIZADOR!L123+E92</f>
        <v>174</v>
      </c>
      <c r="K92" s="18"/>
    </row>
    <row r="93" spans="1:11" x14ac:dyDescent="0.25">
      <c r="A93" s="18"/>
      <c r="B93" s="135">
        <f>COTIZADOR!E124</f>
        <v>89</v>
      </c>
      <c r="C93" s="136">
        <f>COTIZADOR!F124</f>
        <v>0</v>
      </c>
      <c r="D93" s="136">
        <f>COTIZADOR!G124</f>
        <v>0</v>
      </c>
      <c r="E93" s="136">
        <f>IF(COTIZADOR!$G$301="LIQUIDEZ HIPOTECARIA",D93*16%,0)</f>
        <v>0</v>
      </c>
      <c r="F93" s="136">
        <f>COTIZADOR!H124</f>
        <v>0</v>
      </c>
      <c r="G93" s="136">
        <f>COTIZADOR!I124</f>
        <v>0</v>
      </c>
      <c r="H93" s="136">
        <f>COTIZADOR!J124</f>
        <v>0</v>
      </c>
      <c r="I93" s="136">
        <f>COTIZADOR!K124</f>
        <v>174</v>
      </c>
      <c r="J93" s="137">
        <f>COTIZADOR!L124+E93</f>
        <v>174</v>
      </c>
      <c r="K93" s="18"/>
    </row>
    <row r="94" spans="1:11" x14ac:dyDescent="0.25">
      <c r="A94" s="18"/>
      <c r="B94" s="135">
        <f>COTIZADOR!E125</f>
        <v>90</v>
      </c>
      <c r="C94" s="136">
        <f>COTIZADOR!F125</f>
        <v>0</v>
      </c>
      <c r="D94" s="136">
        <f>COTIZADOR!G125</f>
        <v>0</v>
      </c>
      <c r="E94" s="136">
        <f>IF(COTIZADOR!$G$301="LIQUIDEZ HIPOTECARIA",D94*16%,0)</f>
        <v>0</v>
      </c>
      <c r="F94" s="136">
        <f>COTIZADOR!H125</f>
        <v>0</v>
      </c>
      <c r="G94" s="136">
        <f>COTIZADOR!I125</f>
        <v>0</v>
      </c>
      <c r="H94" s="136">
        <f>COTIZADOR!J125</f>
        <v>0</v>
      </c>
      <c r="I94" s="136">
        <f>COTIZADOR!K125</f>
        <v>174</v>
      </c>
      <c r="J94" s="137">
        <f>COTIZADOR!L125+E94</f>
        <v>174</v>
      </c>
      <c r="K94" s="18"/>
    </row>
    <row r="95" spans="1:11" x14ac:dyDescent="0.25">
      <c r="A95" s="18"/>
      <c r="B95" s="135">
        <f>COTIZADOR!E126</f>
        <v>91</v>
      </c>
      <c r="C95" s="136">
        <f>COTIZADOR!F126</f>
        <v>0</v>
      </c>
      <c r="D95" s="136">
        <f>COTIZADOR!G126</f>
        <v>0</v>
      </c>
      <c r="E95" s="136">
        <f>IF(COTIZADOR!$G$301="LIQUIDEZ HIPOTECARIA",D95*16%,0)</f>
        <v>0</v>
      </c>
      <c r="F95" s="136">
        <f>COTIZADOR!H126</f>
        <v>0</v>
      </c>
      <c r="G95" s="136">
        <f>COTIZADOR!I126</f>
        <v>0</v>
      </c>
      <c r="H95" s="136">
        <f>COTIZADOR!J126</f>
        <v>0</v>
      </c>
      <c r="I95" s="136">
        <f>COTIZADOR!K126</f>
        <v>174</v>
      </c>
      <c r="J95" s="137">
        <f>COTIZADOR!L126+E95</f>
        <v>174</v>
      </c>
      <c r="K95" s="18"/>
    </row>
    <row r="96" spans="1:11" x14ac:dyDescent="0.25">
      <c r="A96" s="18"/>
      <c r="B96" s="135">
        <f>COTIZADOR!E127</f>
        <v>92</v>
      </c>
      <c r="C96" s="136">
        <f>COTIZADOR!F127</f>
        <v>0</v>
      </c>
      <c r="D96" s="136">
        <f>COTIZADOR!G127</f>
        <v>0</v>
      </c>
      <c r="E96" s="136">
        <f>IF(COTIZADOR!$G$301="LIQUIDEZ HIPOTECARIA",D96*16%,0)</f>
        <v>0</v>
      </c>
      <c r="F96" s="136">
        <f>COTIZADOR!H127</f>
        <v>0</v>
      </c>
      <c r="G96" s="136">
        <f>COTIZADOR!I127</f>
        <v>0</v>
      </c>
      <c r="H96" s="136">
        <f>COTIZADOR!J127</f>
        <v>0</v>
      </c>
      <c r="I96" s="136">
        <f>COTIZADOR!K127</f>
        <v>174</v>
      </c>
      <c r="J96" s="137">
        <f>COTIZADOR!L127+E96</f>
        <v>174</v>
      </c>
      <c r="K96" s="18"/>
    </row>
    <row r="97" spans="1:11" x14ac:dyDescent="0.25">
      <c r="A97" s="18"/>
      <c r="B97" s="135">
        <f>COTIZADOR!E128</f>
        <v>93</v>
      </c>
      <c r="C97" s="136">
        <f>COTIZADOR!F128</f>
        <v>0</v>
      </c>
      <c r="D97" s="136">
        <f>COTIZADOR!G128</f>
        <v>0</v>
      </c>
      <c r="E97" s="136">
        <f>IF(COTIZADOR!$G$301="LIQUIDEZ HIPOTECARIA",D97*16%,0)</f>
        <v>0</v>
      </c>
      <c r="F97" s="136">
        <f>COTIZADOR!H128</f>
        <v>0</v>
      </c>
      <c r="G97" s="136">
        <f>COTIZADOR!I128</f>
        <v>0</v>
      </c>
      <c r="H97" s="136">
        <f>COTIZADOR!J128</f>
        <v>0</v>
      </c>
      <c r="I97" s="136">
        <f>COTIZADOR!K128</f>
        <v>174</v>
      </c>
      <c r="J97" s="137">
        <f>COTIZADOR!L128+E97</f>
        <v>174</v>
      </c>
      <c r="K97" s="18"/>
    </row>
    <row r="98" spans="1:11" x14ac:dyDescent="0.25">
      <c r="A98" s="18"/>
      <c r="B98" s="135">
        <f>COTIZADOR!E129</f>
        <v>94</v>
      </c>
      <c r="C98" s="136">
        <f>COTIZADOR!F129</f>
        <v>0</v>
      </c>
      <c r="D98" s="136">
        <f>COTIZADOR!G129</f>
        <v>0</v>
      </c>
      <c r="E98" s="136">
        <f>IF(COTIZADOR!$G$301="LIQUIDEZ HIPOTECARIA",D98*16%,0)</f>
        <v>0</v>
      </c>
      <c r="F98" s="136">
        <f>COTIZADOR!H129</f>
        <v>0</v>
      </c>
      <c r="G98" s="136">
        <f>COTIZADOR!I129</f>
        <v>0</v>
      </c>
      <c r="H98" s="136">
        <f>COTIZADOR!J129</f>
        <v>0</v>
      </c>
      <c r="I98" s="136">
        <f>COTIZADOR!K129</f>
        <v>174</v>
      </c>
      <c r="J98" s="137">
        <f>COTIZADOR!L129+E98</f>
        <v>174</v>
      </c>
      <c r="K98" s="18"/>
    </row>
    <row r="99" spans="1:11" x14ac:dyDescent="0.25">
      <c r="A99" s="18"/>
      <c r="B99" s="135">
        <f>COTIZADOR!E130</f>
        <v>95</v>
      </c>
      <c r="C99" s="136">
        <f>COTIZADOR!F130</f>
        <v>0</v>
      </c>
      <c r="D99" s="136">
        <f>COTIZADOR!G130</f>
        <v>0</v>
      </c>
      <c r="E99" s="136">
        <f>IF(COTIZADOR!$G$301="LIQUIDEZ HIPOTECARIA",D99*16%,0)</f>
        <v>0</v>
      </c>
      <c r="F99" s="136">
        <f>COTIZADOR!H130</f>
        <v>0</v>
      </c>
      <c r="G99" s="136">
        <f>COTIZADOR!I130</f>
        <v>0</v>
      </c>
      <c r="H99" s="136">
        <f>COTIZADOR!J130</f>
        <v>0</v>
      </c>
      <c r="I99" s="136">
        <f>COTIZADOR!K130</f>
        <v>174</v>
      </c>
      <c r="J99" s="137">
        <f>COTIZADOR!L130+E99</f>
        <v>174</v>
      </c>
      <c r="K99" s="18"/>
    </row>
    <row r="100" spans="1:11" x14ac:dyDescent="0.25">
      <c r="A100" s="18"/>
      <c r="B100" s="135">
        <f>COTIZADOR!E131</f>
        <v>96</v>
      </c>
      <c r="C100" s="136">
        <f>COTIZADOR!F131</f>
        <v>0</v>
      </c>
      <c r="D100" s="136">
        <f>COTIZADOR!G131</f>
        <v>0</v>
      </c>
      <c r="E100" s="136">
        <f>IF(COTIZADOR!$G$301="LIQUIDEZ HIPOTECARIA",D100*16%,0)</f>
        <v>0</v>
      </c>
      <c r="F100" s="136">
        <f>COTIZADOR!H131</f>
        <v>0</v>
      </c>
      <c r="G100" s="136">
        <f>COTIZADOR!I131</f>
        <v>0</v>
      </c>
      <c r="H100" s="136">
        <f>COTIZADOR!J131</f>
        <v>0</v>
      </c>
      <c r="I100" s="136">
        <f>COTIZADOR!K131</f>
        <v>174</v>
      </c>
      <c r="J100" s="137">
        <f>COTIZADOR!L131+E100</f>
        <v>174</v>
      </c>
      <c r="K100" s="18"/>
    </row>
    <row r="101" spans="1:11" x14ac:dyDescent="0.25">
      <c r="A101" s="18"/>
      <c r="B101" s="135">
        <f>COTIZADOR!E132</f>
        <v>97</v>
      </c>
      <c r="C101" s="136">
        <f>COTIZADOR!F132</f>
        <v>0</v>
      </c>
      <c r="D101" s="136">
        <f>COTIZADOR!G132</f>
        <v>0</v>
      </c>
      <c r="E101" s="136">
        <f>IF(COTIZADOR!$G$301="LIQUIDEZ HIPOTECARIA",D101*16%,0)</f>
        <v>0</v>
      </c>
      <c r="F101" s="136">
        <f>COTIZADOR!H132</f>
        <v>0</v>
      </c>
      <c r="G101" s="136">
        <f>COTIZADOR!I132</f>
        <v>0</v>
      </c>
      <c r="H101" s="136">
        <f>COTIZADOR!J132</f>
        <v>0</v>
      </c>
      <c r="I101" s="136">
        <f>COTIZADOR!K132</f>
        <v>174</v>
      </c>
      <c r="J101" s="137">
        <f>COTIZADOR!L132+E101</f>
        <v>174</v>
      </c>
      <c r="K101" s="18"/>
    </row>
    <row r="102" spans="1:11" x14ac:dyDescent="0.25">
      <c r="A102" s="18"/>
      <c r="B102" s="135">
        <f>COTIZADOR!E133</f>
        <v>98</v>
      </c>
      <c r="C102" s="136">
        <f>COTIZADOR!F133</f>
        <v>0</v>
      </c>
      <c r="D102" s="136">
        <f>COTIZADOR!G133</f>
        <v>0</v>
      </c>
      <c r="E102" s="136">
        <f>IF(COTIZADOR!$G$301="LIQUIDEZ HIPOTECARIA",D102*16%,0)</f>
        <v>0</v>
      </c>
      <c r="F102" s="136">
        <f>COTIZADOR!H133</f>
        <v>0</v>
      </c>
      <c r="G102" s="136">
        <f>COTIZADOR!I133</f>
        <v>0</v>
      </c>
      <c r="H102" s="136">
        <f>COTIZADOR!J133</f>
        <v>0</v>
      </c>
      <c r="I102" s="136">
        <f>COTIZADOR!K133</f>
        <v>174</v>
      </c>
      <c r="J102" s="137">
        <f>COTIZADOR!L133+E102</f>
        <v>174</v>
      </c>
      <c r="K102" s="18"/>
    </row>
    <row r="103" spans="1:11" x14ac:dyDescent="0.25">
      <c r="A103" s="18"/>
      <c r="B103" s="135">
        <f>COTIZADOR!E134</f>
        <v>99</v>
      </c>
      <c r="C103" s="136">
        <f>COTIZADOR!F134</f>
        <v>0</v>
      </c>
      <c r="D103" s="136">
        <f>COTIZADOR!G134</f>
        <v>0</v>
      </c>
      <c r="E103" s="136">
        <f>IF(COTIZADOR!$G$301="LIQUIDEZ HIPOTECARIA",D103*16%,0)</f>
        <v>0</v>
      </c>
      <c r="F103" s="136">
        <f>COTIZADOR!H134</f>
        <v>0</v>
      </c>
      <c r="G103" s="136">
        <f>COTIZADOR!I134</f>
        <v>0</v>
      </c>
      <c r="H103" s="136">
        <f>COTIZADOR!J134</f>
        <v>0</v>
      </c>
      <c r="I103" s="136">
        <f>COTIZADOR!K134</f>
        <v>174</v>
      </c>
      <c r="J103" s="137">
        <f>COTIZADOR!L134+E103</f>
        <v>174</v>
      </c>
      <c r="K103" s="18"/>
    </row>
    <row r="104" spans="1:11" x14ac:dyDescent="0.25">
      <c r="A104" s="18"/>
      <c r="B104" s="135">
        <f>COTIZADOR!E135</f>
        <v>100</v>
      </c>
      <c r="C104" s="136">
        <f>COTIZADOR!F135</f>
        <v>0</v>
      </c>
      <c r="D104" s="136">
        <f>COTIZADOR!G135</f>
        <v>0</v>
      </c>
      <c r="E104" s="136">
        <f>IF(COTIZADOR!$G$301="LIQUIDEZ HIPOTECARIA",D104*16%,0)</f>
        <v>0</v>
      </c>
      <c r="F104" s="136">
        <f>COTIZADOR!H135</f>
        <v>0</v>
      </c>
      <c r="G104" s="136">
        <f>COTIZADOR!I135</f>
        <v>0</v>
      </c>
      <c r="H104" s="136">
        <f>COTIZADOR!J135</f>
        <v>0</v>
      </c>
      <c r="I104" s="136">
        <f>COTIZADOR!K135</f>
        <v>174</v>
      </c>
      <c r="J104" s="137">
        <f>COTIZADOR!L135+E104</f>
        <v>174</v>
      </c>
      <c r="K104" s="18"/>
    </row>
    <row r="105" spans="1:11" x14ac:dyDescent="0.25">
      <c r="A105" s="18"/>
      <c r="B105" s="135">
        <f>COTIZADOR!E136</f>
        <v>101</v>
      </c>
      <c r="C105" s="136">
        <f>COTIZADOR!F136</f>
        <v>0</v>
      </c>
      <c r="D105" s="136">
        <f>COTIZADOR!G136</f>
        <v>0</v>
      </c>
      <c r="E105" s="136">
        <f>IF(COTIZADOR!$G$301="LIQUIDEZ HIPOTECARIA",D105*16%,0)</f>
        <v>0</v>
      </c>
      <c r="F105" s="136">
        <f>COTIZADOR!H136</f>
        <v>0</v>
      </c>
      <c r="G105" s="136">
        <f>COTIZADOR!I136</f>
        <v>0</v>
      </c>
      <c r="H105" s="136">
        <f>COTIZADOR!J136</f>
        <v>0</v>
      </c>
      <c r="I105" s="136">
        <f>COTIZADOR!K136</f>
        <v>174</v>
      </c>
      <c r="J105" s="137">
        <f>COTIZADOR!L136+E105</f>
        <v>174</v>
      </c>
      <c r="K105" s="18"/>
    </row>
    <row r="106" spans="1:11" x14ac:dyDescent="0.25">
      <c r="A106" s="18"/>
      <c r="B106" s="135">
        <f>COTIZADOR!E137</f>
        <v>102</v>
      </c>
      <c r="C106" s="136">
        <f>COTIZADOR!F137</f>
        <v>0</v>
      </c>
      <c r="D106" s="136">
        <f>COTIZADOR!G137</f>
        <v>0</v>
      </c>
      <c r="E106" s="136">
        <f>IF(COTIZADOR!$G$301="LIQUIDEZ HIPOTECARIA",D106*16%,0)</f>
        <v>0</v>
      </c>
      <c r="F106" s="136">
        <f>COTIZADOR!H137</f>
        <v>0</v>
      </c>
      <c r="G106" s="136">
        <f>COTIZADOR!I137</f>
        <v>0</v>
      </c>
      <c r="H106" s="136">
        <f>COTIZADOR!J137</f>
        <v>0</v>
      </c>
      <c r="I106" s="136">
        <f>COTIZADOR!K137</f>
        <v>174</v>
      </c>
      <c r="J106" s="137">
        <f>COTIZADOR!L137+E106</f>
        <v>174</v>
      </c>
      <c r="K106" s="18"/>
    </row>
    <row r="107" spans="1:11" x14ac:dyDescent="0.25">
      <c r="A107" s="18"/>
      <c r="B107" s="135">
        <f>COTIZADOR!E138</f>
        <v>103</v>
      </c>
      <c r="C107" s="136">
        <f>COTIZADOR!F138</f>
        <v>0</v>
      </c>
      <c r="D107" s="136">
        <f>COTIZADOR!G138</f>
        <v>0</v>
      </c>
      <c r="E107" s="136">
        <f>IF(COTIZADOR!$G$301="LIQUIDEZ HIPOTECARIA",D107*16%,0)</f>
        <v>0</v>
      </c>
      <c r="F107" s="136">
        <f>COTIZADOR!H138</f>
        <v>0</v>
      </c>
      <c r="G107" s="136">
        <f>COTIZADOR!I138</f>
        <v>0</v>
      </c>
      <c r="H107" s="136">
        <f>COTIZADOR!J138</f>
        <v>0</v>
      </c>
      <c r="I107" s="136">
        <f>COTIZADOR!K138</f>
        <v>174</v>
      </c>
      <c r="J107" s="137">
        <f>COTIZADOR!L138+E107</f>
        <v>174</v>
      </c>
      <c r="K107" s="18"/>
    </row>
    <row r="108" spans="1:11" x14ac:dyDescent="0.25">
      <c r="A108" s="18"/>
      <c r="B108" s="135">
        <f>COTIZADOR!E139</f>
        <v>104</v>
      </c>
      <c r="C108" s="136">
        <f>COTIZADOR!F139</f>
        <v>0</v>
      </c>
      <c r="D108" s="136">
        <f>COTIZADOR!G139</f>
        <v>0</v>
      </c>
      <c r="E108" s="136">
        <f>IF(COTIZADOR!$G$301="LIQUIDEZ HIPOTECARIA",D108*16%,0)</f>
        <v>0</v>
      </c>
      <c r="F108" s="136">
        <f>COTIZADOR!H139</f>
        <v>0</v>
      </c>
      <c r="G108" s="136">
        <f>COTIZADOR!I139</f>
        <v>0</v>
      </c>
      <c r="H108" s="136">
        <f>COTIZADOR!J139</f>
        <v>0</v>
      </c>
      <c r="I108" s="136">
        <f>COTIZADOR!K139</f>
        <v>174</v>
      </c>
      <c r="J108" s="137">
        <f>COTIZADOR!L139+E108</f>
        <v>174</v>
      </c>
      <c r="K108" s="18"/>
    </row>
    <row r="109" spans="1:11" x14ac:dyDescent="0.25">
      <c r="A109" s="18"/>
      <c r="B109" s="135">
        <f>COTIZADOR!E140</f>
        <v>105</v>
      </c>
      <c r="C109" s="136">
        <f>COTIZADOR!F140</f>
        <v>0</v>
      </c>
      <c r="D109" s="136">
        <f>COTIZADOR!G140</f>
        <v>0</v>
      </c>
      <c r="E109" s="136">
        <f>IF(COTIZADOR!$G$301="LIQUIDEZ HIPOTECARIA",D109*16%,0)</f>
        <v>0</v>
      </c>
      <c r="F109" s="136">
        <f>COTIZADOR!H140</f>
        <v>0</v>
      </c>
      <c r="G109" s="136">
        <f>COTIZADOR!I140</f>
        <v>0</v>
      </c>
      <c r="H109" s="136">
        <f>COTIZADOR!J140</f>
        <v>0</v>
      </c>
      <c r="I109" s="136">
        <f>COTIZADOR!K140</f>
        <v>174</v>
      </c>
      <c r="J109" s="137">
        <f>COTIZADOR!L140+E109</f>
        <v>174</v>
      </c>
      <c r="K109" s="18"/>
    </row>
    <row r="110" spans="1:11" x14ac:dyDescent="0.25">
      <c r="A110" s="18"/>
      <c r="B110" s="135">
        <f>COTIZADOR!E141</f>
        <v>106</v>
      </c>
      <c r="C110" s="136">
        <f>COTIZADOR!F141</f>
        <v>0</v>
      </c>
      <c r="D110" s="136">
        <f>COTIZADOR!G141</f>
        <v>0</v>
      </c>
      <c r="E110" s="136">
        <f>IF(COTIZADOR!$G$301="LIQUIDEZ HIPOTECARIA",D110*16%,0)</f>
        <v>0</v>
      </c>
      <c r="F110" s="136">
        <f>COTIZADOR!H141</f>
        <v>0</v>
      </c>
      <c r="G110" s="136">
        <f>COTIZADOR!I141</f>
        <v>0</v>
      </c>
      <c r="H110" s="136">
        <f>COTIZADOR!J141</f>
        <v>0</v>
      </c>
      <c r="I110" s="136">
        <f>COTIZADOR!K141</f>
        <v>174</v>
      </c>
      <c r="J110" s="137">
        <f>COTIZADOR!L141+E110</f>
        <v>174</v>
      </c>
      <c r="K110" s="18"/>
    </row>
    <row r="111" spans="1:11" x14ac:dyDescent="0.25">
      <c r="A111" s="18"/>
      <c r="B111" s="135">
        <f>COTIZADOR!E142</f>
        <v>107</v>
      </c>
      <c r="C111" s="136">
        <f>COTIZADOR!F142</f>
        <v>0</v>
      </c>
      <c r="D111" s="136">
        <f>COTIZADOR!G142</f>
        <v>0</v>
      </c>
      <c r="E111" s="136">
        <f>IF(COTIZADOR!$G$301="LIQUIDEZ HIPOTECARIA",D111*16%,0)</f>
        <v>0</v>
      </c>
      <c r="F111" s="136">
        <f>COTIZADOR!H142</f>
        <v>0</v>
      </c>
      <c r="G111" s="136">
        <f>COTIZADOR!I142</f>
        <v>0</v>
      </c>
      <c r="H111" s="136">
        <f>COTIZADOR!J142</f>
        <v>0</v>
      </c>
      <c r="I111" s="136">
        <f>COTIZADOR!K142</f>
        <v>174</v>
      </c>
      <c r="J111" s="137">
        <f>COTIZADOR!L142+E111</f>
        <v>174</v>
      </c>
      <c r="K111" s="18"/>
    </row>
    <row r="112" spans="1:11" x14ac:dyDescent="0.25">
      <c r="A112" s="18"/>
      <c r="B112" s="135">
        <f>COTIZADOR!E143</f>
        <v>108</v>
      </c>
      <c r="C112" s="136">
        <f>COTIZADOR!F143</f>
        <v>0</v>
      </c>
      <c r="D112" s="136">
        <f>COTIZADOR!G143</f>
        <v>0</v>
      </c>
      <c r="E112" s="136">
        <f>IF(COTIZADOR!$G$301="LIQUIDEZ HIPOTECARIA",D112*16%,0)</f>
        <v>0</v>
      </c>
      <c r="F112" s="136">
        <f>COTIZADOR!H143</f>
        <v>0</v>
      </c>
      <c r="G112" s="136">
        <f>COTIZADOR!I143</f>
        <v>0</v>
      </c>
      <c r="H112" s="136">
        <f>COTIZADOR!J143</f>
        <v>0</v>
      </c>
      <c r="I112" s="136">
        <f>COTIZADOR!K143</f>
        <v>174</v>
      </c>
      <c r="J112" s="137">
        <f>COTIZADOR!L143+E112</f>
        <v>174</v>
      </c>
      <c r="K112" s="18"/>
    </row>
    <row r="113" spans="1:11" x14ac:dyDescent="0.25">
      <c r="A113" s="18"/>
      <c r="B113" s="135">
        <f>COTIZADOR!E144</f>
        <v>109</v>
      </c>
      <c r="C113" s="136">
        <f>COTIZADOR!F144</f>
        <v>0</v>
      </c>
      <c r="D113" s="136">
        <f>COTIZADOR!G144</f>
        <v>0</v>
      </c>
      <c r="E113" s="136">
        <f>IF(COTIZADOR!$G$301="LIQUIDEZ HIPOTECARIA",D113*16%,0)</f>
        <v>0</v>
      </c>
      <c r="F113" s="136">
        <f>COTIZADOR!H144</f>
        <v>0</v>
      </c>
      <c r="G113" s="136">
        <f>COTIZADOR!I144</f>
        <v>0</v>
      </c>
      <c r="H113" s="136">
        <f>COTIZADOR!J144</f>
        <v>0</v>
      </c>
      <c r="I113" s="136">
        <f>COTIZADOR!K144</f>
        <v>174</v>
      </c>
      <c r="J113" s="137">
        <f>COTIZADOR!L144+E113</f>
        <v>174</v>
      </c>
      <c r="K113" s="18"/>
    </row>
    <row r="114" spans="1:11" x14ac:dyDescent="0.25">
      <c r="A114" s="18"/>
      <c r="B114" s="135">
        <f>COTIZADOR!E145</f>
        <v>110</v>
      </c>
      <c r="C114" s="136">
        <f>COTIZADOR!F145</f>
        <v>0</v>
      </c>
      <c r="D114" s="136">
        <f>COTIZADOR!G145</f>
        <v>0</v>
      </c>
      <c r="E114" s="136">
        <f>IF(COTIZADOR!$G$301="LIQUIDEZ HIPOTECARIA",D114*16%,0)</f>
        <v>0</v>
      </c>
      <c r="F114" s="136">
        <f>COTIZADOR!H145</f>
        <v>0</v>
      </c>
      <c r="G114" s="136">
        <f>COTIZADOR!I145</f>
        <v>0</v>
      </c>
      <c r="H114" s="136">
        <f>COTIZADOR!J145</f>
        <v>0</v>
      </c>
      <c r="I114" s="136">
        <f>COTIZADOR!K145</f>
        <v>174</v>
      </c>
      <c r="J114" s="137">
        <f>COTIZADOR!L145+E114</f>
        <v>174</v>
      </c>
      <c r="K114" s="18"/>
    </row>
    <row r="115" spans="1:11" x14ac:dyDescent="0.25">
      <c r="A115" s="18"/>
      <c r="B115" s="135">
        <f>COTIZADOR!E146</f>
        <v>111</v>
      </c>
      <c r="C115" s="136">
        <f>COTIZADOR!F146</f>
        <v>0</v>
      </c>
      <c r="D115" s="136">
        <f>COTIZADOR!G146</f>
        <v>0</v>
      </c>
      <c r="E115" s="136">
        <f>IF(COTIZADOR!$G$301="LIQUIDEZ HIPOTECARIA",D115*16%,0)</f>
        <v>0</v>
      </c>
      <c r="F115" s="136">
        <f>COTIZADOR!H146</f>
        <v>0</v>
      </c>
      <c r="G115" s="136">
        <f>COTIZADOR!I146</f>
        <v>0</v>
      </c>
      <c r="H115" s="136">
        <f>COTIZADOR!J146</f>
        <v>0</v>
      </c>
      <c r="I115" s="136">
        <f>COTIZADOR!K146</f>
        <v>174</v>
      </c>
      <c r="J115" s="137">
        <f>COTIZADOR!L146+E115</f>
        <v>174</v>
      </c>
      <c r="K115" s="18"/>
    </row>
    <row r="116" spans="1:11" x14ac:dyDescent="0.25">
      <c r="A116" s="18"/>
      <c r="B116" s="135">
        <f>COTIZADOR!E147</f>
        <v>112</v>
      </c>
      <c r="C116" s="136">
        <f>COTIZADOR!F147</f>
        <v>0</v>
      </c>
      <c r="D116" s="136">
        <f>COTIZADOR!G147</f>
        <v>0</v>
      </c>
      <c r="E116" s="136">
        <f>IF(COTIZADOR!$G$301="LIQUIDEZ HIPOTECARIA",D116*16%,0)</f>
        <v>0</v>
      </c>
      <c r="F116" s="136">
        <f>COTIZADOR!H147</f>
        <v>0</v>
      </c>
      <c r="G116" s="136">
        <f>COTIZADOR!I147</f>
        <v>0</v>
      </c>
      <c r="H116" s="136">
        <f>COTIZADOR!J147</f>
        <v>0</v>
      </c>
      <c r="I116" s="136">
        <f>COTIZADOR!K147</f>
        <v>174</v>
      </c>
      <c r="J116" s="137">
        <f>COTIZADOR!L147+E116</f>
        <v>174</v>
      </c>
      <c r="K116" s="18"/>
    </row>
    <row r="117" spans="1:11" x14ac:dyDescent="0.25">
      <c r="A117" s="18"/>
      <c r="B117" s="135">
        <f>COTIZADOR!E148</f>
        <v>113</v>
      </c>
      <c r="C117" s="136">
        <f>COTIZADOR!F148</f>
        <v>0</v>
      </c>
      <c r="D117" s="136">
        <f>COTIZADOR!G148</f>
        <v>0</v>
      </c>
      <c r="E117" s="136">
        <f>IF(COTIZADOR!$G$301="LIQUIDEZ HIPOTECARIA",D117*16%,0)</f>
        <v>0</v>
      </c>
      <c r="F117" s="136">
        <f>COTIZADOR!H148</f>
        <v>0</v>
      </c>
      <c r="G117" s="136">
        <f>COTIZADOR!I148</f>
        <v>0</v>
      </c>
      <c r="H117" s="136">
        <f>COTIZADOR!J148</f>
        <v>0</v>
      </c>
      <c r="I117" s="136">
        <f>COTIZADOR!K148</f>
        <v>174</v>
      </c>
      <c r="J117" s="137">
        <f>COTIZADOR!L148+E117</f>
        <v>174</v>
      </c>
      <c r="K117" s="18"/>
    </row>
    <row r="118" spans="1:11" x14ac:dyDescent="0.25">
      <c r="A118" s="18"/>
      <c r="B118" s="135">
        <f>COTIZADOR!E149</f>
        <v>114</v>
      </c>
      <c r="C118" s="136">
        <f>COTIZADOR!F149</f>
        <v>0</v>
      </c>
      <c r="D118" s="136">
        <f>COTIZADOR!G149</f>
        <v>0</v>
      </c>
      <c r="E118" s="136">
        <f>IF(COTIZADOR!$G$301="LIQUIDEZ HIPOTECARIA",D118*16%,0)</f>
        <v>0</v>
      </c>
      <c r="F118" s="136">
        <f>COTIZADOR!H149</f>
        <v>0</v>
      </c>
      <c r="G118" s="136">
        <f>COTIZADOR!I149</f>
        <v>0</v>
      </c>
      <c r="H118" s="136">
        <f>COTIZADOR!J149</f>
        <v>0</v>
      </c>
      <c r="I118" s="136">
        <f>COTIZADOR!K149</f>
        <v>174</v>
      </c>
      <c r="J118" s="137">
        <f>COTIZADOR!L149+E118</f>
        <v>174</v>
      </c>
      <c r="K118" s="18"/>
    </row>
    <row r="119" spans="1:11" x14ac:dyDescent="0.25">
      <c r="A119" s="18"/>
      <c r="B119" s="135">
        <f>COTIZADOR!E150</f>
        <v>115</v>
      </c>
      <c r="C119" s="136">
        <f>COTIZADOR!F150</f>
        <v>0</v>
      </c>
      <c r="D119" s="136">
        <f>COTIZADOR!G150</f>
        <v>0</v>
      </c>
      <c r="E119" s="136">
        <f>IF(COTIZADOR!$G$301="LIQUIDEZ HIPOTECARIA",D119*16%,0)</f>
        <v>0</v>
      </c>
      <c r="F119" s="136">
        <f>COTIZADOR!H150</f>
        <v>0</v>
      </c>
      <c r="G119" s="136">
        <f>COTIZADOR!I150</f>
        <v>0</v>
      </c>
      <c r="H119" s="136">
        <f>COTIZADOR!J150</f>
        <v>0</v>
      </c>
      <c r="I119" s="136">
        <f>COTIZADOR!K150</f>
        <v>174</v>
      </c>
      <c r="J119" s="137">
        <f>COTIZADOR!L150+E119</f>
        <v>174</v>
      </c>
      <c r="K119" s="18"/>
    </row>
    <row r="120" spans="1:11" x14ac:dyDescent="0.25">
      <c r="A120" s="18"/>
      <c r="B120" s="135">
        <f>COTIZADOR!E151</f>
        <v>116</v>
      </c>
      <c r="C120" s="136">
        <f>COTIZADOR!F151</f>
        <v>0</v>
      </c>
      <c r="D120" s="136">
        <f>COTIZADOR!G151</f>
        <v>0</v>
      </c>
      <c r="E120" s="136">
        <f>IF(COTIZADOR!$G$301="LIQUIDEZ HIPOTECARIA",D120*16%,0)</f>
        <v>0</v>
      </c>
      <c r="F120" s="136">
        <f>COTIZADOR!H151</f>
        <v>0</v>
      </c>
      <c r="G120" s="136">
        <f>COTIZADOR!I151</f>
        <v>0</v>
      </c>
      <c r="H120" s="136">
        <f>COTIZADOR!J151</f>
        <v>0</v>
      </c>
      <c r="I120" s="136">
        <f>COTIZADOR!K151</f>
        <v>174</v>
      </c>
      <c r="J120" s="137">
        <f>COTIZADOR!L151+E120</f>
        <v>174</v>
      </c>
      <c r="K120" s="18"/>
    </row>
    <row r="121" spans="1:11" x14ac:dyDescent="0.25">
      <c r="A121" s="18"/>
      <c r="B121" s="135">
        <f>COTIZADOR!E152</f>
        <v>117</v>
      </c>
      <c r="C121" s="136">
        <f>COTIZADOR!F152</f>
        <v>0</v>
      </c>
      <c r="D121" s="136">
        <f>COTIZADOR!G152</f>
        <v>0</v>
      </c>
      <c r="E121" s="136">
        <f>IF(COTIZADOR!$G$301="LIQUIDEZ HIPOTECARIA",D121*16%,0)</f>
        <v>0</v>
      </c>
      <c r="F121" s="136">
        <f>COTIZADOR!H152</f>
        <v>0</v>
      </c>
      <c r="G121" s="136">
        <f>COTIZADOR!I152</f>
        <v>0</v>
      </c>
      <c r="H121" s="136">
        <f>COTIZADOR!J152</f>
        <v>0</v>
      </c>
      <c r="I121" s="136">
        <f>COTIZADOR!K152</f>
        <v>174</v>
      </c>
      <c r="J121" s="137">
        <f>COTIZADOR!L152+E121</f>
        <v>174</v>
      </c>
      <c r="K121" s="18"/>
    </row>
    <row r="122" spans="1:11" x14ac:dyDescent="0.25">
      <c r="A122" s="18"/>
      <c r="B122" s="135">
        <f>COTIZADOR!E153</f>
        <v>118</v>
      </c>
      <c r="C122" s="136">
        <f>COTIZADOR!F153</f>
        <v>0</v>
      </c>
      <c r="D122" s="136">
        <f>COTIZADOR!G153</f>
        <v>0</v>
      </c>
      <c r="E122" s="136">
        <f>IF(COTIZADOR!$G$301="LIQUIDEZ HIPOTECARIA",D122*16%,0)</f>
        <v>0</v>
      </c>
      <c r="F122" s="136">
        <f>COTIZADOR!H153</f>
        <v>0</v>
      </c>
      <c r="G122" s="136">
        <f>COTIZADOR!I153</f>
        <v>0</v>
      </c>
      <c r="H122" s="136">
        <f>COTIZADOR!J153</f>
        <v>0</v>
      </c>
      <c r="I122" s="136">
        <f>COTIZADOR!K153</f>
        <v>174</v>
      </c>
      <c r="J122" s="137">
        <f>COTIZADOR!L153+E122</f>
        <v>174</v>
      </c>
      <c r="K122" s="18"/>
    </row>
    <row r="123" spans="1:11" x14ac:dyDescent="0.25">
      <c r="A123" s="18"/>
      <c r="B123" s="135">
        <f>COTIZADOR!E154</f>
        <v>119</v>
      </c>
      <c r="C123" s="136">
        <f>COTIZADOR!F154</f>
        <v>0</v>
      </c>
      <c r="D123" s="136">
        <f>COTIZADOR!G154</f>
        <v>0</v>
      </c>
      <c r="E123" s="136">
        <f>IF(COTIZADOR!$G$301="LIQUIDEZ HIPOTECARIA",D123*16%,0)</f>
        <v>0</v>
      </c>
      <c r="F123" s="136">
        <f>COTIZADOR!H154</f>
        <v>0</v>
      </c>
      <c r="G123" s="136">
        <f>COTIZADOR!I154</f>
        <v>0</v>
      </c>
      <c r="H123" s="136">
        <f>COTIZADOR!J154</f>
        <v>0</v>
      </c>
      <c r="I123" s="136">
        <f>COTIZADOR!K154</f>
        <v>174</v>
      </c>
      <c r="J123" s="137">
        <f>COTIZADOR!L154+E123</f>
        <v>174</v>
      </c>
      <c r="K123" s="18"/>
    </row>
    <row r="124" spans="1:11" x14ac:dyDescent="0.25">
      <c r="A124" s="18"/>
      <c r="B124" s="135">
        <f>COTIZADOR!E155</f>
        <v>120</v>
      </c>
      <c r="C124" s="136">
        <f>COTIZADOR!F155</f>
        <v>0</v>
      </c>
      <c r="D124" s="136">
        <f>COTIZADOR!G155</f>
        <v>0</v>
      </c>
      <c r="E124" s="136">
        <f>IF(COTIZADOR!$G$301="LIQUIDEZ HIPOTECARIA",D124*16%,0)</f>
        <v>0</v>
      </c>
      <c r="F124" s="136">
        <f>COTIZADOR!H155</f>
        <v>0</v>
      </c>
      <c r="G124" s="136">
        <f>COTIZADOR!I155</f>
        <v>0</v>
      </c>
      <c r="H124" s="136">
        <f>COTIZADOR!J155</f>
        <v>0</v>
      </c>
      <c r="I124" s="136">
        <f>COTIZADOR!K155</f>
        <v>174</v>
      </c>
      <c r="J124" s="137">
        <f>COTIZADOR!L155+E124</f>
        <v>174</v>
      </c>
      <c r="K124" s="18"/>
    </row>
    <row r="125" spans="1:11" x14ac:dyDescent="0.25">
      <c r="A125" s="18"/>
      <c r="B125" s="135">
        <f>COTIZADOR!E156</f>
        <v>121</v>
      </c>
      <c r="C125" s="136">
        <f>COTIZADOR!F156</f>
        <v>0</v>
      </c>
      <c r="D125" s="136">
        <f>COTIZADOR!G156</f>
        <v>0</v>
      </c>
      <c r="E125" s="136">
        <f>IF(COTIZADOR!$G$301="LIQUIDEZ HIPOTECARIA",D125*16%,0)</f>
        <v>0</v>
      </c>
      <c r="F125" s="136">
        <f>COTIZADOR!H156</f>
        <v>0</v>
      </c>
      <c r="G125" s="136">
        <f>COTIZADOR!I156</f>
        <v>0</v>
      </c>
      <c r="H125" s="136">
        <f>COTIZADOR!J156</f>
        <v>0</v>
      </c>
      <c r="I125" s="136">
        <f>COTIZADOR!K156</f>
        <v>174</v>
      </c>
      <c r="J125" s="137">
        <f>COTIZADOR!L156+E125</f>
        <v>174</v>
      </c>
      <c r="K125" s="18"/>
    </row>
    <row r="126" spans="1:11" x14ac:dyDescent="0.25">
      <c r="A126" s="18"/>
      <c r="B126" s="135">
        <f>COTIZADOR!E157</f>
        <v>122</v>
      </c>
      <c r="C126" s="136">
        <f>COTIZADOR!F157</f>
        <v>0</v>
      </c>
      <c r="D126" s="136">
        <f>COTIZADOR!G157</f>
        <v>0</v>
      </c>
      <c r="E126" s="136">
        <f>IF(COTIZADOR!$G$301="LIQUIDEZ HIPOTECARIA",D126*16%,0)</f>
        <v>0</v>
      </c>
      <c r="F126" s="136">
        <f>COTIZADOR!H157</f>
        <v>0</v>
      </c>
      <c r="G126" s="136">
        <f>COTIZADOR!I157</f>
        <v>0</v>
      </c>
      <c r="H126" s="136">
        <f>COTIZADOR!J157</f>
        <v>0</v>
      </c>
      <c r="I126" s="136">
        <f>COTIZADOR!K157</f>
        <v>174</v>
      </c>
      <c r="J126" s="137">
        <f>COTIZADOR!L157+E126</f>
        <v>174</v>
      </c>
      <c r="K126" s="18"/>
    </row>
    <row r="127" spans="1:11" x14ac:dyDescent="0.25">
      <c r="A127" s="18"/>
      <c r="B127" s="135">
        <f>COTIZADOR!E158</f>
        <v>123</v>
      </c>
      <c r="C127" s="136">
        <f>COTIZADOR!F158</f>
        <v>0</v>
      </c>
      <c r="D127" s="136">
        <f>COTIZADOR!G158</f>
        <v>0</v>
      </c>
      <c r="E127" s="136">
        <f>IF(COTIZADOR!$G$301="LIQUIDEZ HIPOTECARIA",D127*16%,0)</f>
        <v>0</v>
      </c>
      <c r="F127" s="136">
        <f>COTIZADOR!H158</f>
        <v>0</v>
      </c>
      <c r="G127" s="136">
        <f>COTIZADOR!I158</f>
        <v>0</v>
      </c>
      <c r="H127" s="136">
        <f>COTIZADOR!J158</f>
        <v>0</v>
      </c>
      <c r="I127" s="136">
        <f>COTIZADOR!K158</f>
        <v>174</v>
      </c>
      <c r="J127" s="137">
        <f>COTIZADOR!L158+E127</f>
        <v>174</v>
      </c>
      <c r="K127" s="18"/>
    </row>
    <row r="128" spans="1:11" x14ac:dyDescent="0.25">
      <c r="A128" s="18"/>
      <c r="B128" s="135">
        <f>COTIZADOR!E159</f>
        <v>124</v>
      </c>
      <c r="C128" s="136">
        <f>COTIZADOR!F159</f>
        <v>0</v>
      </c>
      <c r="D128" s="136">
        <f>COTIZADOR!G159</f>
        <v>0</v>
      </c>
      <c r="E128" s="136">
        <f>IF(COTIZADOR!$G$301="LIQUIDEZ HIPOTECARIA",D128*16%,0)</f>
        <v>0</v>
      </c>
      <c r="F128" s="136">
        <f>COTIZADOR!H159</f>
        <v>0</v>
      </c>
      <c r="G128" s="136">
        <f>COTIZADOR!I159</f>
        <v>0</v>
      </c>
      <c r="H128" s="136">
        <f>COTIZADOR!J159</f>
        <v>0</v>
      </c>
      <c r="I128" s="136">
        <f>COTIZADOR!K159</f>
        <v>174</v>
      </c>
      <c r="J128" s="137">
        <f>COTIZADOR!L159+E128</f>
        <v>174</v>
      </c>
      <c r="K128" s="18"/>
    </row>
    <row r="129" spans="1:11" x14ac:dyDescent="0.25">
      <c r="A129" s="18"/>
      <c r="B129" s="135">
        <f>COTIZADOR!E160</f>
        <v>125</v>
      </c>
      <c r="C129" s="136">
        <f>COTIZADOR!F160</f>
        <v>0</v>
      </c>
      <c r="D129" s="136">
        <f>COTIZADOR!G160</f>
        <v>0</v>
      </c>
      <c r="E129" s="136">
        <f>IF(COTIZADOR!$G$301="LIQUIDEZ HIPOTECARIA",D129*16%,0)</f>
        <v>0</v>
      </c>
      <c r="F129" s="136">
        <f>COTIZADOR!H160</f>
        <v>0</v>
      </c>
      <c r="G129" s="136">
        <f>COTIZADOR!I160</f>
        <v>0</v>
      </c>
      <c r="H129" s="136">
        <f>COTIZADOR!J160</f>
        <v>0</v>
      </c>
      <c r="I129" s="136">
        <f>COTIZADOR!K160</f>
        <v>174</v>
      </c>
      <c r="J129" s="137">
        <f>COTIZADOR!L160+E129</f>
        <v>174</v>
      </c>
      <c r="K129" s="18"/>
    </row>
    <row r="130" spans="1:11" x14ac:dyDescent="0.25">
      <c r="A130" s="18"/>
      <c r="B130" s="135">
        <f>COTIZADOR!E161</f>
        <v>126</v>
      </c>
      <c r="C130" s="136">
        <f>COTIZADOR!F161</f>
        <v>0</v>
      </c>
      <c r="D130" s="136">
        <f>COTIZADOR!G161</f>
        <v>0</v>
      </c>
      <c r="E130" s="136">
        <f>IF(COTIZADOR!$G$301="LIQUIDEZ HIPOTECARIA",D130*16%,0)</f>
        <v>0</v>
      </c>
      <c r="F130" s="136">
        <f>COTIZADOR!H161</f>
        <v>0</v>
      </c>
      <c r="G130" s="136">
        <f>COTIZADOR!I161</f>
        <v>0</v>
      </c>
      <c r="H130" s="136">
        <f>COTIZADOR!J161</f>
        <v>0</v>
      </c>
      <c r="I130" s="136">
        <f>COTIZADOR!K161</f>
        <v>174</v>
      </c>
      <c r="J130" s="137">
        <f>COTIZADOR!L161+E130</f>
        <v>174</v>
      </c>
      <c r="K130" s="18"/>
    </row>
    <row r="131" spans="1:11" x14ac:dyDescent="0.25">
      <c r="A131" s="18"/>
      <c r="B131" s="135">
        <f>COTIZADOR!E162</f>
        <v>127</v>
      </c>
      <c r="C131" s="136">
        <f>COTIZADOR!F162</f>
        <v>0</v>
      </c>
      <c r="D131" s="136">
        <f>COTIZADOR!G162</f>
        <v>0</v>
      </c>
      <c r="E131" s="136">
        <f>IF(COTIZADOR!$G$301="LIQUIDEZ HIPOTECARIA",D131*16%,0)</f>
        <v>0</v>
      </c>
      <c r="F131" s="136">
        <f>COTIZADOR!H162</f>
        <v>0</v>
      </c>
      <c r="G131" s="136">
        <f>COTIZADOR!I162</f>
        <v>0</v>
      </c>
      <c r="H131" s="136">
        <f>COTIZADOR!J162</f>
        <v>0</v>
      </c>
      <c r="I131" s="136">
        <f>COTIZADOR!K162</f>
        <v>174</v>
      </c>
      <c r="J131" s="137">
        <f>COTIZADOR!L162+E131</f>
        <v>174</v>
      </c>
      <c r="K131" s="18"/>
    </row>
    <row r="132" spans="1:11" x14ac:dyDescent="0.25">
      <c r="A132" s="18"/>
      <c r="B132" s="135">
        <f>COTIZADOR!E163</f>
        <v>128</v>
      </c>
      <c r="C132" s="136">
        <f>COTIZADOR!F163</f>
        <v>0</v>
      </c>
      <c r="D132" s="136">
        <f>COTIZADOR!G163</f>
        <v>0</v>
      </c>
      <c r="E132" s="136">
        <f>IF(COTIZADOR!$G$301="LIQUIDEZ HIPOTECARIA",D132*16%,0)</f>
        <v>0</v>
      </c>
      <c r="F132" s="136">
        <f>COTIZADOR!H163</f>
        <v>0</v>
      </c>
      <c r="G132" s="136">
        <f>COTIZADOR!I163</f>
        <v>0</v>
      </c>
      <c r="H132" s="136">
        <f>COTIZADOR!J163</f>
        <v>0</v>
      </c>
      <c r="I132" s="136">
        <f>COTIZADOR!K163</f>
        <v>174</v>
      </c>
      <c r="J132" s="137">
        <f>COTIZADOR!L163+E132</f>
        <v>174</v>
      </c>
      <c r="K132" s="18"/>
    </row>
    <row r="133" spans="1:11" x14ac:dyDescent="0.25">
      <c r="A133" s="18"/>
      <c r="B133" s="135">
        <f>COTIZADOR!E164</f>
        <v>129</v>
      </c>
      <c r="C133" s="136">
        <f>COTIZADOR!F164</f>
        <v>0</v>
      </c>
      <c r="D133" s="136">
        <f>COTIZADOR!G164</f>
        <v>0</v>
      </c>
      <c r="E133" s="136">
        <f>IF(COTIZADOR!$G$301="LIQUIDEZ HIPOTECARIA",D133*16%,0)</f>
        <v>0</v>
      </c>
      <c r="F133" s="136">
        <f>COTIZADOR!H164</f>
        <v>0</v>
      </c>
      <c r="G133" s="136">
        <f>COTIZADOR!I164</f>
        <v>0</v>
      </c>
      <c r="H133" s="136">
        <f>COTIZADOR!J164</f>
        <v>0</v>
      </c>
      <c r="I133" s="136">
        <f>COTIZADOR!K164</f>
        <v>174</v>
      </c>
      <c r="J133" s="137">
        <f>COTIZADOR!L164+E133</f>
        <v>174</v>
      </c>
      <c r="K133" s="18"/>
    </row>
    <row r="134" spans="1:11" x14ac:dyDescent="0.25">
      <c r="A134" s="18"/>
      <c r="B134" s="135">
        <f>COTIZADOR!E165</f>
        <v>130</v>
      </c>
      <c r="C134" s="136">
        <f>COTIZADOR!F165</f>
        <v>0</v>
      </c>
      <c r="D134" s="136">
        <f>COTIZADOR!G165</f>
        <v>0</v>
      </c>
      <c r="E134" s="136">
        <f>IF(COTIZADOR!$G$301="LIQUIDEZ HIPOTECARIA",D134*16%,0)</f>
        <v>0</v>
      </c>
      <c r="F134" s="136">
        <f>COTIZADOR!H165</f>
        <v>0</v>
      </c>
      <c r="G134" s="136">
        <f>COTIZADOR!I165</f>
        <v>0</v>
      </c>
      <c r="H134" s="136">
        <f>COTIZADOR!J165</f>
        <v>0</v>
      </c>
      <c r="I134" s="136">
        <f>COTIZADOR!K165</f>
        <v>174</v>
      </c>
      <c r="J134" s="137">
        <f>COTIZADOR!L165+E134</f>
        <v>174</v>
      </c>
      <c r="K134" s="18"/>
    </row>
    <row r="135" spans="1:11" x14ac:dyDescent="0.25">
      <c r="A135" s="18"/>
      <c r="B135" s="135">
        <f>COTIZADOR!E166</f>
        <v>131</v>
      </c>
      <c r="C135" s="136">
        <f>COTIZADOR!F166</f>
        <v>0</v>
      </c>
      <c r="D135" s="136">
        <f>COTIZADOR!G166</f>
        <v>0</v>
      </c>
      <c r="E135" s="136">
        <f>IF(COTIZADOR!$G$301="LIQUIDEZ HIPOTECARIA",D135*16%,0)</f>
        <v>0</v>
      </c>
      <c r="F135" s="136">
        <f>COTIZADOR!H166</f>
        <v>0</v>
      </c>
      <c r="G135" s="136">
        <f>COTIZADOR!I166</f>
        <v>0</v>
      </c>
      <c r="H135" s="136">
        <f>COTIZADOR!J166</f>
        <v>0</v>
      </c>
      <c r="I135" s="136">
        <f>COTIZADOR!K166</f>
        <v>174</v>
      </c>
      <c r="J135" s="137">
        <f>COTIZADOR!L166+E135</f>
        <v>174</v>
      </c>
      <c r="K135" s="18"/>
    </row>
    <row r="136" spans="1:11" x14ac:dyDescent="0.25">
      <c r="A136" s="18"/>
      <c r="B136" s="135">
        <f>COTIZADOR!E167</f>
        <v>132</v>
      </c>
      <c r="C136" s="136">
        <f>COTIZADOR!F167</f>
        <v>0</v>
      </c>
      <c r="D136" s="136">
        <f>COTIZADOR!G167</f>
        <v>0</v>
      </c>
      <c r="E136" s="136">
        <f>IF(COTIZADOR!$G$301="LIQUIDEZ HIPOTECARIA",D136*16%,0)</f>
        <v>0</v>
      </c>
      <c r="F136" s="136">
        <f>COTIZADOR!H167</f>
        <v>0</v>
      </c>
      <c r="G136" s="136">
        <f>COTIZADOR!I167</f>
        <v>0</v>
      </c>
      <c r="H136" s="136">
        <f>COTIZADOR!J167</f>
        <v>0</v>
      </c>
      <c r="I136" s="136">
        <f>COTIZADOR!K167</f>
        <v>174</v>
      </c>
      <c r="J136" s="137">
        <f>COTIZADOR!L167+E136</f>
        <v>174</v>
      </c>
      <c r="K136" s="18"/>
    </row>
    <row r="137" spans="1:11" x14ac:dyDescent="0.25">
      <c r="A137" s="18"/>
      <c r="B137" s="135">
        <f>COTIZADOR!E168</f>
        <v>133</v>
      </c>
      <c r="C137" s="136">
        <f>COTIZADOR!F168</f>
        <v>0</v>
      </c>
      <c r="D137" s="136">
        <f>COTIZADOR!G168</f>
        <v>0</v>
      </c>
      <c r="E137" s="136">
        <f>IF(COTIZADOR!$G$301="LIQUIDEZ HIPOTECARIA",D137*16%,0)</f>
        <v>0</v>
      </c>
      <c r="F137" s="136">
        <f>COTIZADOR!H168</f>
        <v>0</v>
      </c>
      <c r="G137" s="136">
        <f>COTIZADOR!I168</f>
        <v>0</v>
      </c>
      <c r="H137" s="136">
        <f>COTIZADOR!J168</f>
        <v>0</v>
      </c>
      <c r="I137" s="136">
        <f>COTIZADOR!K168</f>
        <v>174</v>
      </c>
      <c r="J137" s="137">
        <f>COTIZADOR!L168+E137</f>
        <v>174</v>
      </c>
      <c r="K137" s="18"/>
    </row>
    <row r="138" spans="1:11" x14ac:dyDescent="0.25">
      <c r="A138" s="18"/>
      <c r="B138" s="135">
        <f>COTIZADOR!E169</f>
        <v>134</v>
      </c>
      <c r="C138" s="136">
        <f>COTIZADOR!F169</f>
        <v>0</v>
      </c>
      <c r="D138" s="136">
        <f>COTIZADOR!G169</f>
        <v>0</v>
      </c>
      <c r="E138" s="136">
        <f>IF(COTIZADOR!$G$301="LIQUIDEZ HIPOTECARIA",D138*16%,0)</f>
        <v>0</v>
      </c>
      <c r="F138" s="136">
        <f>COTIZADOR!H169</f>
        <v>0</v>
      </c>
      <c r="G138" s="136">
        <f>COTIZADOR!I169</f>
        <v>0</v>
      </c>
      <c r="H138" s="136">
        <f>COTIZADOR!J169</f>
        <v>0</v>
      </c>
      <c r="I138" s="136">
        <f>COTIZADOR!K169</f>
        <v>174</v>
      </c>
      <c r="J138" s="137">
        <f>COTIZADOR!L169+E138</f>
        <v>174</v>
      </c>
      <c r="K138" s="18"/>
    </row>
    <row r="139" spans="1:11" x14ac:dyDescent="0.25">
      <c r="A139" s="18"/>
      <c r="B139" s="135">
        <f>COTIZADOR!E170</f>
        <v>135</v>
      </c>
      <c r="C139" s="136">
        <f>COTIZADOR!F170</f>
        <v>0</v>
      </c>
      <c r="D139" s="136">
        <f>COTIZADOR!G170</f>
        <v>0</v>
      </c>
      <c r="E139" s="136">
        <f>IF(COTIZADOR!$G$301="LIQUIDEZ HIPOTECARIA",D139*16%,0)</f>
        <v>0</v>
      </c>
      <c r="F139" s="136">
        <f>COTIZADOR!H170</f>
        <v>0</v>
      </c>
      <c r="G139" s="136">
        <f>COTIZADOR!I170</f>
        <v>0</v>
      </c>
      <c r="H139" s="136">
        <f>COTIZADOR!J170</f>
        <v>0</v>
      </c>
      <c r="I139" s="136">
        <f>COTIZADOR!K170</f>
        <v>174</v>
      </c>
      <c r="J139" s="137">
        <f>COTIZADOR!L170+E139</f>
        <v>174</v>
      </c>
      <c r="K139" s="18"/>
    </row>
    <row r="140" spans="1:11" x14ac:dyDescent="0.25">
      <c r="A140" s="18"/>
      <c r="B140" s="135">
        <f>COTIZADOR!E171</f>
        <v>136</v>
      </c>
      <c r="C140" s="136">
        <f>COTIZADOR!F171</f>
        <v>0</v>
      </c>
      <c r="D140" s="136">
        <f>COTIZADOR!G171</f>
        <v>0</v>
      </c>
      <c r="E140" s="136">
        <f>IF(COTIZADOR!$G$301="LIQUIDEZ HIPOTECARIA",D140*16%,0)</f>
        <v>0</v>
      </c>
      <c r="F140" s="136">
        <f>COTIZADOR!H171</f>
        <v>0</v>
      </c>
      <c r="G140" s="136">
        <f>COTIZADOR!I171</f>
        <v>0</v>
      </c>
      <c r="H140" s="136">
        <f>COTIZADOR!J171</f>
        <v>0</v>
      </c>
      <c r="I140" s="136">
        <f>COTIZADOR!K171</f>
        <v>174</v>
      </c>
      <c r="J140" s="137">
        <f>COTIZADOR!L171+E140</f>
        <v>174</v>
      </c>
      <c r="K140" s="18"/>
    </row>
    <row r="141" spans="1:11" x14ac:dyDescent="0.25">
      <c r="A141" s="18"/>
      <c r="B141" s="135">
        <f>COTIZADOR!E172</f>
        <v>137</v>
      </c>
      <c r="C141" s="136">
        <f>COTIZADOR!F172</f>
        <v>0</v>
      </c>
      <c r="D141" s="136">
        <f>COTIZADOR!G172</f>
        <v>0</v>
      </c>
      <c r="E141" s="136">
        <f>IF(COTIZADOR!$G$301="LIQUIDEZ HIPOTECARIA",D141*16%,0)</f>
        <v>0</v>
      </c>
      <c r="F141" s="136">
        <f>COTIZADOR!H172</f>
        <v>0</v>
      </c>
      <c r="G141" s="136">
        <f>COTIZADOR!I172</f>
        <v>0</v>
      </c>
      <c r="H141" s="136">
        <f>COTIZADOR!J172</f>
        <v>0</v>
      </c>
      <c r="I141" s="136">
        <f>COTIZADOR!K172</f>
        <v>174</v>
      </c>
      <c r="J141" s="137">
        <f>COTIZADOR!L172+E141</f>
        <v>174</v>
      </c>
      <c r="K141" s="18"/>
    </row>
    <row r="142" spans="1:11" x14ac:dyDescent="0.25">
      <c r="A142" s="18"/>
      <c r="B142" s="135">
        <f>COTIZADOR!E173</f>
        <v>138</v>
      </c>
      <c r="C142" s="136">
        <f>COTIZADOR!F173</f>
        <v>0</v>
      </c>
      <c r="D142" s="136">
        <f>COTIZADOR!G173</f>
        <v>0</v>
      </c>
      <c r="E142" s="136">
        <f>IF(COTIZADOR!$G$301="LIQUIDEZ HIPOTECARIA",D142*16%,0)</f>
        <v>0</v>
      </c>
      <c r="F142" s="136">
        <f>COTIZADOR!H173</f>
        <v>0</v>
      </c>
      <c r="G142" s="136">
        <f>COTIZADOR!I173</f>
        <v>0</v>
      </c>
      <c r="H142" s="136">
        <f>COTIZADOR!J173</f>
        <v>0</v>
      </c>
      <c r="I142" s="136">
        <f>COTIZADOR!K173</f>
        <v>174</v>
      </c>
      <c r="J142" s="137">
        <f>COTIZADOR!L173+E142</f>
        <v>174</v>
      </c>
      <c r="K142" s="18"/>
    </row>
    <row r="143" spans="1:11" x14ac:dyDescent="0.25">
      <c r="A143" s="18"/>
      <c r="B143" s="135">
        <f>COTIZADOR!E174</f>
        <v>139</v>
      </c>
      <c r="C143" s="136">
        <f>COTIZADOR!F174</f>
        <v>0</v>
      </c>
      <c r="D143" s="136">
        <f>COTIZADOR!G174</f>
        <v>0</v>
      </c>
      <c r="E143" s="136">
        <f>IF(COTIZADOR!$G$301="LIQUIDEZ HIPOTECARIA",D143*16%,0)</f>
        <v>0</v>
      </c>
      <c r="F143" s="136">
        <f>COTIZADOR!H174</f>
        <v>0</v>
      </c>
      <c r="G143" s="136">
        <f>COTIZADOR!I174</f>
        <v>0</v>
      </c>
      <c r="H143" s="136">
        <f>COTIZADOR!J174</f>
        <v>0</v>
      </c>
      <c r="I143" s="136">
        <f>COTIZADOR!K174</f>
        <v>174</v>
      </c>
      <c r="J143" s="137">
        <f>COTIZADOR!L174+E143</f>
        <v>174</v>
      </c>
      <c r="K143" s="18"/>
    </row>
    <row r="144" spans="1:11" x14ac:dyDescent="0.25">
      <c r="A144" s="18"/>
      <c r="B144" s="135">
        <f>COTIZADOR!E175</f>
        <v>140</v>
      </c>
      <c r="C144" s="136">
        <f>COTIZADOR!F175</f>
        <v>0</v>
      </c>
      <c r="D144" s="136">
        <f>COTIZADOR!G175</f>
        <v>0</v>
      </c>
      <c r="E144" s="136">
        <f>IF(COTIZADOR!$G$301="LIQUIDEZ HIPOTECARIA",D144*16%,0)</f>
        <v>0</v>
      </c>
      <c r="F144" s="136">
        <f>COTIZADOR!H175</f>
        <v>0</v>
      </c>
      <c r="G144" s="136">
        <f>COTIZADOR!I175</f>
        <v>0</v>
      </c>
      <c r="H144" s="136">
        <f>COTIZADOR!J175</f>
        <v>0</v>
      </c>
      <c r="I144" s="136">
        <f>COTIZADOR!K175</f>
        <v>174</v>
      </c>
      <c r="J144" s="137">
        <f>COTIZADOR!L175+E144</f>
        <v>174</v>
      </c>
      <c r="K144" s="18"/>
    </row>
    <row r="145" spans="1:11" x14ac:dyDescent="0.25">
      <c r="A145" s="18"/>
      <c r="B145" s="135">
        <f>COTIZADOR!E176</f>
        <v>141</v>
      </c>
      <c r="C145" s="136">
        <f>COTIZADOR!F176</f>
        <v>0</v>
      </c>
      <c r="D145" s="136">
        <f>COTIZADOR!G176</f>
        <v>0</v>
      </c>
      <c r="E145" s="136">
        <f>IF(COTIZADOR!$G$301="LIQUIDEZ HIPOTECARIA",D145*16%,0)</f>
        <v>0</v>
      </c>
      <c r="F145" s="136">
        <f>COTIZADOR!H176</f>
        <v>0</v>
      </c>
      <c r="G145" s="136">
        <f>COTIZADOR!I176</f>
        <v>0</v>
      </c>
      <c r="H145" s="136">
        <f>COTIZADOR!J176</f>
        <v>0</v>
      </c>
      <c r="I145" s="136">
        <f>COTIZADOR!K176</f>
        <v>174</v>
      </c>
      <c r="J145" s="137">
        <f>COTIZADOR!L176+E145</f>
        <v>174</v>
      </c>
      <c r="K145" s="18"/>
    </row>
    <row r="146" spans="1:11" x14ac:dyDescent="0.25">
      <c r="A146" s="18"/>
      <c r="B146" s="135">
        <f>COTIZADOR!E177</f>
        <v>142</v>
      </c>
      <c r="C146" s="136">
        <f>COTIZADOR!F177</f>
        <v>0</v>
      </c>
      <c r="D146" s="136">
        <f>COTIZADOR!G177</f>
        <v>0</v>
      </c>
      <c r="E146" s="136">
        <f>IF(COTIZADOR!$G$301="LIQUIDEZ HIPOTECARIA",D146*16%,0)</f>
        <v>0</v>
      </c>
      <c r="F146" s="136">
        <f>COTIZADOR!H177</f>
        <v>0</v>
      </c>
      <c r="G146" s="136">
        <f>COTIZADOR!I177</f>
        <v>0</v>
      </c>
      <c r="H146" s="136">
        <f>COTIZADOR!J177</f>
        <v>0</v>
      </c>
      <c r="I146" s="136">
        <f>COTIZADOR!K177</f>
        <v>174</v>
      </c>
      <c r="J146" s="137">
        <f>COTIZADOR!L177+E146</f>
        <v>174</v>
      </c>
      <c r="K146" s="18"/>
    </row>
    <row r="147" spans="1:11" x14ac:dyDescent="0.25">
      <c r="A147" s="18"/>
      <c r="B147" s="135">
        <f>COTIZADOR!E178</f>
        <v>143</v>
      </c>
      <c r="C147" s="136">
        <f>COTIZADOR!F178</f>
        <v>0</v>
      </c>
      <c r="D147" s="136">
        <f>COTIZADOR!G178</f>
        <v>0</v>
      </c>
      <c r="E147" s="136">
        <f>IF(COTIZADOR!$G$301="LIQUIDEZ HIPOTECARIA",D147*16%,0)</f>
        <v>0</v>
      </c>
      <c r="F147" s="136">
        <f>COTIZADOR!H178</f>
        <v>0</v>
      </c>
      <c r="G147" s="136">
        <f>COTIZADOR!I178</f>
        <v>0</v>
      </c>
      <c r="H147" s="136">
        <f>COTIZADOR!J178</f>
        <v>0</v>
      </c>
      <c r="I147" s="136">
        <f>COTIZADOR!K178</f>
        <v>174</v>
      </c>
      <c r="J147" s="137">
        <f>COTIZADOR!L178+E147</f>
        <v>174</v>
      </c>
      <c r="K147" s="18"/>
    </row>
    <row r="148" spans="1:11" x14ac:dyDescent="0.25">
      <c r="A148" s="18"/>
      <c r="B148" s="135">
        <f>COTIZADOR!E179</f>
        <v>144</v>
      </c>
      <c r="C148" s="136">
        <f>COTIZADOR!F179</f>
        <v>0</v>
      </c>
      <c r="D148" s="136">
        <f>COTIZADOR!G179</f>
        <v>0</v>
      </c>
      <c r="E148" s="136">
        <f>IF(COTIZADOR!$G$301="LIQUIDEZ HIPOTECARIA",D148*16%,0)</f>
        <v>0</v>
      </c>
      <c r="F148" s="136">
        <f>COTIZADOR!H179</f>
        <v>0</v>
      </c>
      <c r="G148" s="136">
        <f>COTIZADOR!I179</f>
        <v>0</v>
      </c>
      <c r="H148" s="136">
        <f>COTIZADOR!J179</f>
        <v>0</v>
      </c>
      <c r="I148" s="136">
        <f>COTIZADOR!K179</f>
        <v>174</v>
      </c>
      <c r="J148" s="137">
        <f>COTIZADOR!L179+E148</f>
        <v>174</v>
      </c>
      <c r="K148" s="18"/>
    </row>
    <row r="149" spans="1:11" x14ac:dyDescent="0.25">
      <c r="A149" s="18"/>
      <c r="B149" s="135">
        <f>COTIZADOR!E180</f>
        <v>145</v>
      </c>
      <c r="C149" s="136">
        <f>COTIZADOR!F180</f>
        <v>0</v>
      </c>
      <c r="D149" s="136">
        <f>COTIZADOR!G180</f>
        <v>0</v>
      </c>
      <c r="E149" s="136">
        <f>IF(COTIZADOR!$G$301="LIQUIDEZ HIPOTECARIA",D149*16%,0)</f>
        <v>0</v>
      </c>
      <c r="F149" s="136">
        <f>COTIZADOR!H180</f>
        <v>0</v>
      </c>
      <c r="G149" s="136">
        <f>COTIZADOR!I180</f>
        <v>0</v>
      </c>
      <c r="H149" s="136">
        <f>COTIZADOR!J180</f>
        <v>0</v>
      </c>
      <c r="I149" s="136">
        <f>COTIZADOR!K180</f>
        <v>174</v>
      </c>
      <c r="J149" s="137">
        <f>COTIZADOR!L180+E149</f>
        <v>174</v>
      </c>
      <c r="K149" s="18"/>
    </row>
    <row r="150" spans="1:11" x14ac:dyDescent="0.25">
      <c r="A150" s="18"/>
      <c r="B150" s="135">
        <f>COTIZADOR!E181</f>
        <v>146</v>
      </c>
      <c r="C150" s="136">
        <f>COTIZADOR!F181</f>
        <v>0</v>
      </c>
      <c r="D150" s="136">
        <f>COTIZADOR!G181</f>
        <v>0</v>
      </c>
      <c r="E150" s="136">
        <f>IF(COTIZADOR!$G$301="LIQUIDEZ HIPOTECARIA",D150*16%,0)</f>
        <v>0</v>
      </c>
      <c r="F150" s="136">
        <f>COTIZADOR!H181</f>
        <v>0</v>
      </c>
      <c r="G150" s="136">
        <f>COTIZADOR!I181</f>
        <v>0</v>
      </c>
      <c r="H150" s="136">
        <f>COTIZADOR!J181</f>
        <v>0</v>
      </c>
      <c r="I150" s="136">
        <f>COTIZADOR!K181</f>
        <v>174</v>
      </c>
      <c r="J150" s="137">
        <f>COTIZADOR!L181+E150</f>
        <v>174</v>
      </c>
      <c r="K150" s="18"/>
    </row>
    <row r="151" spans="1:11" x14ac:dyDescent="0.25">
      <c r="A151" s="18"/>
      <c r="B151" s="135">
        <f>COTIZADOR!E182</f>
        <v>147</v>
      </c>
      <c r="C151" s="136">
        <f>COTIZADOR!F182</f>
        <v>0</v>
      </c>
      <c r="D151" s="136">
        <f>COTIZADOR!G182</f>
        <v>0</v>
      </c>
      <c r="E151" s="136">
        <f>IF(COTIZADOR!$G$301="LIQUIDEZ HIPOTECARIA",D151*16%,0)</f>
        <v>0</v>
      </c>
      <c r="F151" s="136">
        <f>COTIZADOR!H182</f>
        <v>0</v>
      </c>
      <c r="G151" s="136">
        <f>COTIZADOR!I182</f>
        <v>0</v>
      </c>
      <c r="H151" s="136">
        <f>COTIZADOR!J182</f>
        <v>0</v>
      </c>
      <c r="I151" s="136">
        <f>COTIZADOR!K182</f>
        <v>174</v>
      </c>
      <c r="J151" s="137">
        <f>COTIZADOR!L182+E151</f>
        <v>174</v>
      </c>
      <c r="K151" s="18"/>
    </row>
    <row r="152" spans="1:11" x14ac:dyDescent="0.25">
      <c r="A152" s="18"/>
      <c r="B152" s="135">
        <f>COTIZADOR!E183</f>
        <v>148</v>
      </c>
      <c r="C152" s="136">
        <f>COTIZADOR!F183</f>
        <v>0</v>
      </c>
      <c r="D152" s="136">
        <f>COTIZADOR!G183</f>
        <v>0</v>
      </c>
      <c r="E152" s="136">
        <f>IF(COTIZADOR!$G$301="LIQUIDEZ HIPOTECARIA",D152*16%,0)</f>
        <v>0</v>
      </c>
      <c r="F152" s="136">
        <f>COTIZADOR!H183</f>
        <v>0</v>
      </c>
      <c r="G152" s="136">
        <f>COTIZADOR!I183</f>
        <v>0</v>
      </c>
      <c r="H152" s="136">
        <f>COTIZADOR!J183</f>
        <v>0</v>
      </c>
      <c r="I152" s="136">
        <f>COTIZADOR!K183</f>
        <v>174</v>
      </c>
      <c r="J152" s="137">
        <f>COTIZADOR!L183+E152</f>
        <v>174</v>
      </c>
      <c r="K152" s="18"/>
    </row>
    <row r="153" spans="1:11" x14ac:dyDescent="0.25">
      <c r="A153" s="18"/>
      <c r="B153" s="135">
        <f>COTIZADOR!E184</f>
        <v>149</v>
      </c>
      <c r="C153" s="136">
        <f>COTIZADOR!F184</f>
        <v>0</v>
      </c>
      <c r="D153" s="136">
        <f>COTIZADOR!G184</f>
        <v>0</v>
      </c>
      <c r="E153" s="136">
        <f>IF(COTIZADOR!$G$301="LIQUIDEZ HIPOTECARIA",D153*16%,0)</f>
        <v>0</v>
      </c>
      <c r="F153" s="136">
        <f>COTIZADOR!H184</f>
        <v>0</v>
      </c>
      <c r="G153" s="136">
        <f>COTIZADOR!I184</f>
        <v>0</v>
      </c>
      <c r="H153" s="136">
        <f>COTIZADOR!J184</f>
        <v>0</v>
      </c>
      <c r="I153" s="136">
        <f>COTIZADOR!K184</f>
        <v>174</v>
      </c>
      <c r="J153" s="137">
        <f>COTIZADOR!L184+E153</f>
        <v>174</v>
      </c>
      <c r="K153" s="18"/>
    </row>
    <row r="154" spans="1:11" x14ac:dyDescent="0.25">
      <c r="A154" s="18"/>
      <c r="B154" s="135">
        <f>COTIZADOR!E185</f>
        <v>150</v>
      </c>
      <c r="C154" s="136">
        <f>COTIZADOR!F185</f>
        <v>0</v>
      </c>
      <c r="D154" s="136">
        <f>COTIZADOR!G185</f>
        <v>0</v>
      </c>
      <c r="E154" s="136">
        <f>IF(COTIZADOR!$G$301="LIQUIDEZ HIPOTECARIA",D154*16%,0)</f>
        <v>0</v>
      </c>
      <c r="F154" s="136">
        <f>COTIZADOR!H185</f>
        <v>0</v>
      </c>
      <c r="G154" s="136">
        <f>COTIZADOR!I185</f>
        <v>0</v>
      </c>
      <c r="H154" s="136">
        <f>COTIZADOR!J185</f>
        <v>0</v>
      </c>
      <c r="I154" s="136">
        <f>COTIZADOR!K185</f>
        <v>174</v>
      </c>
      <c r="J154" s="137">
        <f>COTIZADOR!L185+E154</f>
        <v>174</v>
      </c>
      <c r="K154" s="18"/>
    </row>
    <row r="155" spans="1:11" x14ac:dyDescent="0.25">
      <c r="A155" s="18"/>
      <c r="B155" s="135">
        <f>COTIZADOR!E186</f>
        <v>151</v>
      </c>
      <c r="C155" s="136">
        <f>COTIZADOR!F186</f>
        <v>0</v>
      </c>
      <c r="D155" s="136">
        <f>COTIZADOR!G186</f>
        <v>0</v>
      </c>
      <c r="E155" s="136">
        <f>IF(COTIZADOR!$G$301="LIQUIDEZ HIPOTECARIA",D155*16%,0)</f>
        <v>0</v>
      </c>
      <c r="F155" s="136">
        <f>COTIZADOR!H186</f>
        <v>0</v>
      </c>
      <c r="G155" s="136">
        <f>COTIZADOR!I186</f>
        <v>0</v>
      </c>
      <c r="H155" s="136">
        <f>COTIZADOR!J186</f>
        <v>0</v>
      </c>
      <c r="I155" s="136">
        <f>COTIZADOR!K186</f>
        <v>174</v>
      </c>
      <c r="J155" s="137">
        <f>COTIZADOR!L186+E155</f>
        <v>174</v>
      </c>
      <c r="K155" s="18"/>
    </row>
    <row r="156" spans="1:11" x14ac:dyDescent="0.25">
      <c r="A156" s="18"/>
      <c r="B156" s="135">
        <f>COTIZADOR!E187</f>
        <v>152</v>
      </c>
      <c r="C156" s="136">
        <f>COTIZADOR!F187</f>
        <v>0</v>
      </c>
      <c r="D156" s="136">
        <f>COTIZADOR!G187</f>
        <v>0</v>
      </c>
      <c r="E156" s="136">
        <f>IF(COTIZADOR!$G$301="LIQUIDEZ HIPOTECARIA",D156*16%,0)</f>
        <v>0</v>
      </c>
      <c r="F156" s="136">
        <f>COTIZADOR!H187</f>
        <v>0</v>
      </c>
      <c r="G156" s="136">
        <f>COTIZADOR!I187</f>
        <v>0</v>
      </c>
      <c r="H156" s="136">
        <f>COTIZADOR!J187</f>
        <v>0</v>
      </c>
      <c r="I156" s="136">
        <f>COTIZADOR!K187</f>
        <v>174</v>
      </c>
      <c r="J156" s="137">
        <f>COTIZADOR!L187+E156</f>
        <v>174</v>
      </c>
      <c r="K156" s="18"/>
    </row>
    <row r="157" spans="1:11" x14ac:dyDescent="0.25">
      <c r="A157" s="18"/>
      <c r="B157" s="135">
        <f>COTIZADOR!E188</f>
        <v>153</v>
      </c>
      <c r="C157" s="136">
        <f>COTIZADOR!F188</f>
        <v>0</v>
      </c>
      <c r="D157" s="136">
        <f>COTIZADOR!G188</f>
        <v>0</v>
      </c>
      <c r="E157" s="136">
        <f>IF(COTIZADOR!$G$301="LIQUIDEZ HIPOTECARIA",D157*16%,0)</f>
        <v>0</v>
      </c>
      <c r="F157" s="136">
        <f>COTIZADOR!H188</f>
        <v>0</v>
      </c>
      <c r="G157" s="136">
        <f>COTIZADOR!I188</f>
        <v>0</v>
      </c>
      <c r="H157" s="136">
        <f>COTIZADOR!J188</f>
        <v>0</v>
      </c>
      <c r="I157" s="136">
        <f>COTIZADOR!K188</f>
        <v>174</v>
      </c>
      <c r="J157" s="137">
        <f>COTIZADOR!L188+E157</f>
        <v>174</v>
      </c>
      <c r="K157" s="18"/>
    </row>
    <row r="158" spans="1:11" x14ac:dyDescent="0.25">
      <c r="A158" s="18"/>
      <c r="B158" s="135">
        <f>COTIZADOR!E189</f>
        <v>154</v>
      </c>
      <c r="C158" s="136">
        <f>COTIZADOR!F189</f>
        <v>0</v>
      </c>
      <c r="D158" s="136">
        <f>COTIZADOR!G189</f>
        <v>0</v>
      </c>
      <c r="E158" s="136">
        <f>IF(COTIZADOR!$G$301="LIQUIDEZ HIPOTECARIA",D158*16%,0)</f>
        <v>0</v>
      </c>
      <c r="F158" s="136">
        <f>COTIZADOR!H189</f>
        <v>0</v>
      </c>
      <c r="G158" s="136">
        <f>COTIZADOR!I189</f>
        <v>0</v>
      </c>
      <c r="H158" s="136">
        <f>COTIZADOR!J189</f>
        <v>0</v>
      </c>
      <c r="I158" s="136">
        <f>COTIZADOR!K189</f>
        <v>174</v>
      </c>
      <c r="J158" s="137">
        <f>COTIZADOR!L189+E158</f>
        <v>174</v>
      </c>
      <c r="K158" s="18"/>
    </row>
    <row r="159" spans="1:11" x14ac:dyDescent="0.25">
      <c r="A159" s="18"/>
      <c r="B159" s="135">
        <f>COTIZADOR!E190</f>
        <v>155</v>
      </c>
      <c r="C159" s="136">
        <f>COTIZADOR!F190</f>
        <v>0</v>
      </c>
      <c r="D159" s="136">
        <f>COTIZADOR!G190</f>
        <v>0</v>
      </c>
      <c r="E159" s="136">
        <f>IF(COTIZADOR!$G$301="LIQUIDEZ HIPOTECARIA",D159*16%,0)</f>
        <v>0</v>
      </c>
      <c r="F159" s="136">
        <f>COTIZADOR!H190</f>
        <v>0</v>
      </c>
      <c r="G159" s="136">
        <f>COTIZADOR!I190</f>
        <v>0</v>
      </c>
      <c r="H159" s="136">
        <f>COTIZADOR!J190</f>
        <v>0</v>
      </c>
      <c r="I159" s="136">
        <f>COTIZADOR!K190</f>
        <v>174</v>
      </c>
      <c r="J159" s="137">
        <f>COTIZADOR!L190+E159</f>
        <v>174</v>
      </c>
      <c r="K159" s="18"/>
    </row>
    <row r="160" spans="1:11" x14ac:dyDescent="0.25">
      <c r="A160" s="18"/>
      <c r="B160" s="135">
        <f>COTIZADOR!E191</f>
        <v>156</v>
      </c>
      <c r="C160" s="136">
        <f>COTIZADOR!F191</f>
        <v>0</v>
      </c>
      <c r="D160" s="136">
        <f>COTIZADOR!G191</f>
        <v>0</v>
      </c>
      <c r="E160" s="136">
        <f>IF(COTIZADOR!$G$301="LIQUIDEZ HIPOTECARIA",D160*16%,0)</f>
        <v>0</v>
      </c>
      <c r="F160" s="136">
        <f>COTIZADOR!H191</f>
        <v>0</v>
      </c>
      <c r="G160" s="136">
        <f>COTIZADOR!I191</f>
        <v>0</v>
      </c>
      <c r="H160" s="136">
        <f>COTIZADOR!J191</f>
        <v>0</v>
      </c>
      <c r="I160" s="136">
        <f>COTIZADOR!K191</f>
        <v>174</v>
      </c>
      <c r="J160" s="137">
        <f>COTIZADOR!L191+E160</f>
        <v>174</v>
      </c>
      <c r="K160" s="18"/>
    </row>
    <row r="161" spans="1:11" x14ac:dyDescent="0.25">
      <c r="A161" s="18"/>
      <c r="B161" s="135">
        <f>COTIZADOR!E192</f>
        <v>157</v>
      </c>
      <c r="C161" s="136">
        <f>COTIZADOR!F192</f>
        <v>0</v>
      </c>
      <c r="D161" s="136">
        <f>COTIZADOR!G192</f>
        <v>0</v>
      </c>
      <c r="E161" s="136">
        <f>IF(COTIZADOR!$G$301="LIQUIDEZ HIPOTECARIA",D161*16%,0)</f>
        <v>0</v>
      </c>
      <c r="F161" s="136">
        <f>COTIZADOR!H192</f>
        <v>0</v>
      </c>
      <c r="G161" s="136">
        <f>COTIZADOR!I192</f>
        <v>0</v>
      </c>
      <c r="H161" s="136">
        <f>COTIZADOR!J192</f>
        <v>0</v>
      </c>
      <c r="I161" s="136">
        <f>COTIZADOR!K192</f>
        <v>174</v>
      </c>
      <c r="J161" s="137">
        <f>COTIZADOR!L192+E161</f>
        <v>174</v>
      </c>
      <c r="K161" s="18"/>
    </row>
    <row r="162" spans="1:11" x14ac:dyDescent="0.25">
      <c r="A162" s="18"/>
      <c r="B162" s="135">
        <f>COTIZADOR!E193</f>
        <v>158</v>
      </c>
      <c r="C162" s="136">
        <f>COTIZADOR!F193</f>
        <v>0</v>
      </c>
      <c r="D162" s="136">
        <f>COTIZADOR!G193</f>
        <v>0</v>
      </c>
      <c r="E162" s="136">
        <f>IF(COTIZADOR!$G$301="LIQUIDEZ HIPOTECARIA",D162*16%,0)</f>
        <v>0</v>
      </c>
      <c r="F162" s="136">
        <f>COTIZADOR!H193</f>
        <v>0</v>
      </c>
      <c r="G162" s="136">
        <f>COTIZADOR!I193</f>
        <v>0</v>
      </c>
      <c r="H162" s="136">
        <f>COTIZADOR!J193</f>
        <v>0</v>
      </c>
      <c r="I162" s="136">
        <f>COTIZADOR!K193</f>
        <v>174</v>
      </c>
      <c r="J162" s="137">
        <f>COTIZADOR!L193+E162</f>
        <v>174</v>
      </c>
      <c r="K162" s="18"/>
    </row>
    <row r="163" spans="1:11" x14ac:dyDescent="0.25">
      <c r="A163" s="18"/>
      <c r="B163" s="135">
        <f>COTIZADOR!E194</f>
        <v>159</v>
      </c>
      <c r="C163" s="136">
        <f>COTIZADOR!F194</f>
        <v>0</v>
      </c>
      <c r="D163" s="136">
        <f>COTIZADOR!G194</f>
        <v>0</v>
      </c>
      <c r="E163" s="136">
        <f>IF(COTIZADOR!$G$301="LIQUIDEZ HIPOTECARIA",D163*16%,0)</f>
        <v>0</v>
      </c>
      <c r="F163" s="136">
        <f>COTIZADOR!H194</f>
        <v>0</v>
      </c>
      <c r="G163" s="136">
        <f>COTIZADOR!I194</f>
        <v>0</v>
      </c>
      <c r="H163" s="136">
        <f>COTIZADOR!J194</f>
        <v>0</v>
      </c>
      <c r="I163" s="136">
        <f>COTIZADOR!K194</f>
        <v>174</v>
      </c>
      <c r="J163" s="137">
        <f>COTIZADOR!L194+E163</f>
        <v>174</v>
      </c>
      <c r="K163" s="18"/>
    </row>
    <row r="164" spans="1:11" x14ac:dyDescent="0.25">
      <c r="A164" s="18"/>
      <c r="B164" s="135">
        <f>COTIZADOR!E195</f>
        <v>160</v>
      </c>
      <c r="C164" s="136">
        <f>COTIZADOR!F195</f>
        <v>0</v>
      </c>
      <c r="D164" s="136">
        <f>COTIZADOR!G195</f>
        <v>0</v>
      </c>
      <c r="E164" s="136">
        <f>IF(COTIZADOR!$G$301="LIQUIDEZ HIPOTECARIA",D164*16%,0)</f>
        <v>0</v>
      </c>
      <c r="F164" s="136">
        <f>COTIZADOR!H195</f>
        <v>0</v>
      </c>
      <c r="G164" s="136">
        <f>COTIZADOR!I195</f>
        <v>0</v>
      </c>
      <c r="H164" s="136">
        <f>COTIZADOR!J195</f>
        <v>0</v>
      </c>
      <c r="I164" s="136">
        <f>COTIZADOR!K195</f>
        <v>174</v>
      </c>
      <c r="J164" s="137">
        <f>COTIZADOR!L195+E164</f>
        <v>174</v>
      </c>
      <c r="K164" s="18"/>
    </row>
    <row r="165" spans="1:11" x14ac:dyDescent="0.25">
      <c r="A165" s="18"/>
      <c r="B165" s="135">
        <f>COTIZADOR!E196</f>
        <v>161</v>
      </c>
      <c r="C165" s="136">
        <f>COTIZADOR!F196</f>
        <v>0</v>
      </c>
      <c r="D165" s="136">
        <f>COTIZADOR!G196</f>
        <v>0</v>
      </c>
      <c r="E165" s="136">
        <f>IF(COTIZADOR!$G$301="LIQUIDEZ HIPOTECARIA",D165*16%,0)</f>
        <v>0</v>
      </c>
      <c r="F165" s="136">
        <f>COTIZADOR!H196</f>
        <v>0</v>
      </c>
      <c r="G165" s="136">
        <f>COTIZADOR!I196</f>
        <v>0</v>
      </c>
      <c r="H165" s="136">
        <f>COTIZADOR!J196</f>
        <v>0</v>
      </c>
      <c r="I165" s="136">
        <f>COTIZADOR!K196</f>
        <v>174</v>
      </c>
      <c r="J165" s="137">
        <f>COTIZADOR!L196+E165</f>
        <v>174</v>
      </c>
      <c r="K165" s="18"/>
    </row>
    <row r="166" spans="1:11" x14ac:dyDescent="0.25">
      <c r="A166" s="18"/>
      <c r="B166" s="135">
        <f>COTIZADOR!E197</f>
        <v>162</v>
      </c>
      <c r="C166" s="136">
        <f>COTIZADOR!F197</f>
        <v>0</v>
      </c>
      <c r="D166" s="136">
        <f>COTIZADOR!G197</f>
        <v>0</v>
      </c>
      <c r="E166" s="136">
        <f>IF(COTIZADOR!$G$301="LIQUIDEZ HIPOTECARIA",D166*16%,0)</f>
        <v>0</v>
      </c>
      <c r="F166" s="136">
        <f>COTIZADOR!H197</f>
        <v>0</v>
      </c>
      <c r="G166" s="136">
        <f>COTIZADOR!I197</f>
        <v>0</v>
      </c>
      <c r="H166" s="136">
        <f>COTIZADOR!J197</f>
        <v>0</v>
      </c>
      <c r="I166" s="136">
        <f>COTIZADOR!K197</f>
        <v>174</v>
      </c>
      <c r="J166" s="137">
        <f>COTIZADOR!L197+E166</f>
        <v>174</v>
      </c>
      <c r="K166" s="18"/>
    </row>
    <row r="167" spans="1:11" x14ac:dyDescent="0.25">
      <c r="A167" s="18"/>
      <c r="B167" s="135">
        <f>COTIZADOR!E198</f>
        <v>163</v>
      </c>
      <c r="C167" s="136">
        <f>COTIZADOR!F198</f>
        <v>0</v>
      </c>
      <c r="D167" s="136">
        <f>COTIZADOR!G198</f>
        <v>0</v>
      </c>
      <c r="E167" s="136">
        <f>IF(COTIZADOR!$G$301="LIQUIDEZ HIPOTECARIA",D167*16%,0)</f>
        <v>0</v>
      </c>
      <c r="F167" s="136">
        <f>COTIZADOR!H198</f>
        <v>0</v>
      </c>
      <c r="G167" s="136">
        <f>COTIZADOR!I198</f>
        <v>0</v>
      </c>
      <c r="H167" s="136">
        <f>COTIZADOR!J198</f>
        <v>0</v>
      </c>
      <c r="I167" s="136">
        <f>COTIZADOR!K198</f>
        <v>174</v>
      </c>
      <c r="J167" s="137">
        <f>COTIZADOR!L198+E167</f>
        <v>174</v>
      </c>
      <c r="K167" s="18"/>
    </row>
    <row r="168" spans="1:11" x14ac:dyDescent="0.25">
      <c r="A168" s="18"/>
      <c r="B168" s="135">
        <f>COTIZADOR!E199</f>
        <v>164</v>
      </c>
      <c r="C168" s="136">
        <f>COTIZADOR!F199</f>
        <v>0</v>
      </c>
      <c r="D168" s="136">
        <f>COTIZADOR!G199</f>
        <v>0</v>
      </c>
      <c r="E168" s="136">
        <f>IF(COTIZADOR!$G$301="LIQUIDEZ HIPOTECARIA",D168*16%,0)</f>
        <v>0</v>
      </c>
      <c r="F168" s="136">
        <f>COTIZADOR!H199</f>
        <v>0</v>
      </c>
      <c r="G168" s="136">
        <f>COTIZADOR!I199</f>
        <v>0</v>
      </c>
      <c r="H168" s="136">
        <f>COTIZADOR!J199</f>
        <v>0</v>
      </c>
      <c r="I168" s="136">
        <f>COTIZADOR!K199</f>
        <v>174</v>
      </c>
      <c r="J168" s="137">
        <f>COTIZADOR!L199+E168</f>
        <v>174</v>
      </c>
      <c r="K168" s="18"/>
    </row>
    <row r="169" spans="1:11" x14ac:dyDescent="0.25">
      <c r="A169" s="18"/>
      <c r="B169" s="135">
        <f>COTIZADOR!E200</f>
        <v>165</v>
      </c>
      <c r="C169" s="136">
        <f>COTIZADOR!F200</f>
        <v>0</v>
      </c>
      <c r="D169" s="136">
        <f>COTIZADOR!G200</f>
        <v>0</v>
      </c>
      <c r="E169" s="136">
        <f>IF(COTIZADOR!$G$301="LIQUIDEZ HIPOTECARIA",D169*16%,0)</f>
        <v>0</v>
      </c>
      <c r="F169" s="136">
        <f>COTIZADOR!H200</f>
        <v>0</v>
      </c>
      <c r="G169" s="136">
        <f>COTIZADOR!I200</f>
        <v>0</v>
      </c>
      <c r="H169" s="136">
        <f>COTIZADOR!J200</f>
        <v>0</v>
      </c>
      <c r="I169" s="136">
        <f>COTIZADOR!K200</f>
        <v>174</v>
      </c>
      <c r="J169" s="137">
        <f>COTIZADOR!L200+E169</f>
        <v>174</v>
      </c>
      <c r="K169" s="18"/>
    </row>
    <row r="170" spans="1:11" x14ac:dyDescent="0.25">
      <c r="A170" s="18"/>
      <c r="B170" s="135">
        <f>COTIZADOR!E201</f>
        <v>166</v>
      </c>
      <c r="C170" s="136">
        <f>COTIZADOR!F201</f>
        <v>0</v>
      </c>
      <c r="D170" s="136">
        <f>COTIZADOR!G201</f>
        <v>0</v>
      </c>
      <c r="E170" s="136">
        <f>IF(COTIZADOR!$G$301="LIQUIDEZ HIPOTECARIA",D170*16%,0)</f>
        <v>0</v>
      </c>
      <c r="F170" s="136">
        <f>COTIZADOR!H201</f>
        <v>0</v>
      </c>
      <c r="G170" s="136">
        <f>COTIZADOR!I201</f>
        <v>0</v>
      </c>
      <c r="H170" s="136">
        <f>COTIZADOR!J201</f>
        <v>0</v>
      </c>
      <c r="I170" s="136">
        <f>COTIZADOR!K201</f>
        <v>174</v>
      </c>
      <c r="J170" s="137">
        <f>COTIZADOR!L201+E170</f>
        <v>174</v>
      </c>
      <c r="K170" s="18"/>
    </row>
    <row r="171" spans="1:11" x14ac:dyDescent="0.25">
      <c r="A171" s="18"/>
      <c r="B171" s="135">
        <f>COTIZADOR!E202</f>
        <v>167</v>
      </c>
      <c r="C171" s="136">
        <f>COTIZADOR!F202</f>
        <v>0</v>
      </c>
      <c r="D171" s="136">
        <f>COTIZADOR!G202</f>
        <v>0</v>
      </c>
      <c r="E171" s="136">
        <f>IF(COTIZADOR!$G$301="LIQUIDEZ HIPOTECARIA",D171*16%,0)</f>
        <v>0</v>
      </c>
      <c r="F171" s="136">
        <f>COTIZADOR!H202</f>
        <v>0</v>
      </c>
      <c r="G171" s="136">
        <f>COTIZADOR!I202</f>
        <v>0</v>
      </c>
      <c r="H171" s="136">
        <f>COTIZADOR!J202</f>
        <v>0</v>
      </c>
      <c r="I171" s="136">
        <f>COTIZADOR!K202</f>
        <v>174</v>
      </c>
      <c r="J171" s="137">
        <f>COTIZADOR!L202+E171</f>
        <v>174</v>
      </c>
      <c r="K171" s="18"/>
    </row>
    <row r="172" spans="1:11" x14ac:dyDescent="0.25">
      <c r="A172" s="18"/>
      <c r="B172" s="135">
        <f>COTIZADOR!E203</f>
        <v>168</v>
      </c>
      <c r="C172" s="136">
        <f>COTIZADOR!F203</f>
        <v>0</v>
      </c>
      <c r="D172" s="136">
        <f>COTIZADOR!G203</f>
        <v>0</v>
      </c>
      <c r="E172" s="136">
        <f>IF(COTIZADOR!$G$301="LIQUIDEZ HIPOTECARIA",D172*16%,0)</f>
        <v>0</v>
      </c>
      <c r="F172" s="136">
        <f>COTIZADOR!H203</f>
        <v>0</v>
      </c>
      <c r="G172" s="136">
        <f>COTIZADOR!I203</f>
        <v>0</v>
      </c>
      <c r="H172" s="136">
        <f>COTIZADOR!J203</f>
        <v>0</v>
      </c>
      <c r="I172" s="136">
        <f>COTIZADOR!K203</f>
        <v>174</v>
      </c>
      <c r="J172" s="137">
        <f>COTIZADOR!L203+E172</f>
        <v>174</v>
      </c>
      <c r="K172" s="18"/>
    </row>
    <row r="173" spans="1:11" x14ac:dyDescent="0.25">
      <c r="A173" s="18"/>
      <c r="B173" s="135">
        <f>COTIZADOR!E204</f>
        <v>169</v>
      </c>
      <c r="C173" s="136">
        <f>COTIZADOR!F204</f>
        <v>0</v>
      </c>
      <c r="D173" s="136">
        <f>COTIZADOR!G204</f>
        <v>0</v>
      </c>
      <c r="E173" s="136">
        <f>IF(COTIZADOR!$G$301="LIQUIDEZ HIPOTECARIA",D173*16%,0)</f>
        <v>0</v>
      </c>
      <c r="F173" s="136">
        <f>COTIZADOR!H204</f>
        <v>0</v>
      </c>
      <c r="G173" s="136">
        <f>COTIZADOR!I204</f>
        <v>0</v>
      </c>
      <c r="H173" s="136">
        <f>COTIZADOR!J204</f>
        <v>0</v>
      </c>
      <c r="I173" s="136">
        <f>COTIZADOR!K204</f>
        <v>174</v>
      </c>
      <c r="J173" s="137">
        <f>COTIZADOR!L204+E173</f>
        <v>174</v>
      </c>
      <c r="K173" s="18"/>
    </row>
    <row r="174" spans="1:11" x14ac:dyDescent="0.25">
      <c r="A174" s="18"/>
      <c r="B174" s="135">
        <f>COTIZADOR!E205</f>
        <v>170</v>
      </c>
      <c r="C174" s="136">
        <f>COTIZADOR!F205</f>
        <v>0</v>
      </c>
      <c r="D174" s="136">
        <f>COTIZADOR!G205</f>
        <v>0</v>
      </c>
      <c r="E174" s="136">
        <f>IF(COTIZADOR!$G$301="LIQUIDEZ HIPOTECARIA",D174*16%,0)</f>
        <v>0</v>
      </c>
      <c r="F174" s="136">
        <f>COTIZADOR!H205</f>
        <v>0</v>
      </c>
      <c r="G174" s="136">
        <f>COTIZADOR!I205</f>
        <v>0</v>
      </c>
      <c r="H174" s="136">
        <f>COTIZADOR!J205</f>
        <v>0</v>
      </c>
      <c r="I174" s="136">
        <f>COTIZADOR!K205</f>
        <v>174</v>
      </c>
      <c r="J174" s="137">
        <f>COTIZADOR!L205+E174</f>
        <v>174</v>
      </c>
      <c r="K174" s="18"/>
    </row>
    <row r="175" spans="1:11" x14ac:dyDescent="0.25">
      <c r="A175" s="18"/>
      <c r="B175" s="135">
        <f>COTIZADOR!E206</f>
        <v>171</v>
      </c>
      <c r="C175" s="136">
        <f>COTIZADOR!F206</f>
        <v>0</v>
      </c>
      <c r="D175" s="136">
        <f>COTIZADOR!G206</f>
        <v>0</v>
      </c>
      <c r="E175" s="136">
        <f>IF(COTIZADOR!$G$301="LIQUIDEZ HIPOTECARIA",D175*16%,0)</f>
        <v>0</v>
      </c>
      <c r="F175" s="136">
        <f>COTIZADOR!H206</f>
        <v>0</v>
      </c>
      <c r="G175" s="136">
        <f>COTIZADOR!I206</f>
        <v>0</v>
      </c>
      <c r="H175" s="136">
        <f>COTIZADOR!J206</f>
        <v>0</v>
      </c>
      <c r="I175" s="136">
        <f>COTIZADOR!K206</f>
        <v>174</v>
      </c>
      <c r="J175" s="137">
        <f>COTIZADOR!L206+E175</f>
        <v>174</v>
      </c>
      <c r="K175" s="18"/>
    </row>
    <row r="176" spans="1:11" x14ac:dyDescent="0.25">
      <c r="A176" s="18"/>
      <c r="B176" s="135">
        <f>COTIZADOR!E207</f>
        <v>172</v>
      </c>
      <c r="C176" s="136">
        <f>COTIZADOR!F207</f>
        <v>0</v>
      </c>
      <c r="D176" s="136">
        <f>COTIZADOR!G207</f>
        <v>0</v>
      </c>
      <c r="E176" s="136">
        <f>IF(COTIZADOR!$G$301="LIQUIDEZ HIPOTECARIA",D176*16%,0)</f>
        <v>0</v>
      </c>
      <c r="F176" s="136">
        <f>COTIZADOR!H207</f>
        <v>0</v>
      </c>
      <c r="G176" s="136">
        <f>COTIZADOR!I207</f>
        <v>0</v>
      </c>
      <c r="H176" s="136">
        <f>COTIZADOR!J207</f>
        <v>0</v>
      </c>
      <c r="I176" s="136">
        <f>COTIZADOR!K207</f>
        <v>174</v>
      </c>
      <c r="J176" s="137">
        <f>COTIZADOR!L207+E176</f>
        <v>174</v>
      </c>
      <c r="K176" s="18"/>
    </row>
    <row r="177" spans="1:11" x14ac:dyDescent="0.25">
      <c r="A177" s="18"/>
      <c r="B177" s="135">
        <f>COTIZADOR!E208</f>
        <v>173</v>
      </c>
      <c r="C177" s="136">
        <f>COTIZADOR!F208</f>
        <v>0</v>
      </c>
      <c r="D177" s="136">
        <f>COTIZADOR!G208</f>
        <v>0</v>
      </c>
      <c r="E177" s="136">
        <f>IF(COTIZADOR!$G$301="LIQUIDEZ HIPOTECARIA",D177*16%,0)</f>
        <v>0</v>
      </c>
      <c r="F177" s="136">
        <f>COTIZADOR!H208</f>
        <v>0</v>
      </c>
      <c r="G177" s="136">
        <f>COTIZADOR!I208</f>
        <v>0</v>
      </c>
      <c r="H177" s="136">
        <f>COTIZADOR!J208</f>
        <v>0</v>
      </c>
      <c r="I177" s="136">
        <f>COTIZADOR!K208</f>
        <v>174</v>
      </c>
      <c r="J177" s="137">
        <f>COTIZADOR!L208+E177</f>
        <v>174</v>
      </c>
      <c r="K177" s="18"/>
    </row>
    <row r="178" spans="1:11" x14ac:dyDescent="0.25">
      <c r="A178" s="18"/>
      <c r="B178" s="135">
        <f>COTIZADOR!E209</f>
        <v>174</v>
      </c>
      <c r="C178" s="136">
        <f>COTIZADOR!F209</f>
        <v>0</v>
      </c>
      <c r="D178" s="136">
        <f>COTIZADOR!G209</f>
        <v>0</v>
      </c>
      <c r="E178" s="136">
        <f>IF(COTIZADOR!$G$301="LIQUIDEZ HIPOTECARIA",D178*16%,0)</f>
        <v>0</v>
      </c>
      <c r="F178" s="136">
        <f>COTIZADOR!H209</f>
        <v>0</v>
      </c>
      <c r="G178" s="136">
        <f>COTIZADOR!I209</f>
        <v>0</v>
      </c>
      <c r="H178" s="136">
        <f>COTIZADOR!J209</f>
        <v>0</v>
      </c>
      <c r="I178" s="136">
        <f>COTIZADOR!K209</f>
        <v>174</v>
      </c>
      <c r="J178" s="137">
        <f>COTIZADOR!L209+E178</f>
        <v>174</v>
      </c>
      <c r="K178" s="18"/>
    </row>
    <row r="179" spans="1:11" x14ac:dyDescent="0.25">
      <c r="A179" s="18"/>
      <c r="B179" s="135">
        <f>COTIZADOR!E210</f>
        <v>175</v>
      </c>
      <c r="C179" s="136">
        <f>COTIZADOR!F210</f>
        <v>0</v>
      </c>
      <c r="D179" s="136">
        <f>COTIZADOR!G210</f>
        <v>0</v>
      </c>
      <c r="E179" s="136">
        <f>IF(COTIZADOR!$G$301="LIQUIDEZ HIPOTECARIA",D179*16%,0)</f>
        <v>0</v>
      </c>
      <c r="F179" s="136">
        <f>COTIZADOR!H210</f>
        <v>0</v>
      </c>
      <c r="G179" s="136">
        <f>COTIZADOR!I210</f>
        <v>0</v>
      </c>
      <c r="H179" s="136">
        <f>COTIZADOR!J210</f>
        <v>0</v>
      </c>
      <c r="I179" s="136">
        <f>COTIZADOR!K210</f>
        <v>174</v>
      </c>
      <c r="J179" s="137">
        <f>COTIZADOR!L210+E179</f>
        <v>174</v>
      </c>
      <c r="K179" s="18"/>
    </row>
    <row r="180" spans="1:11" x14ac:dyDescent="0.25">
      <c r="A180" s="18"/>
      <c r="B180" s="135">
        <f>COTIZADOR!E211</f>
        <v>176</v>
      </c>
      <c r="C180" s="136">
        <f>COTIZADOR!F211</f>
        <v>0</v>
      </c>
      <c r="D180" s="136">
        <f>COTIZADOR!G211</f>
        <v>0</v>
      </c>
      <c r="E180" s="136">
        <f>IF(COTIZADOR!$G$301="LIQUIDEZ HIPOTECARIA",D180*16%,0)</f>
        <v>0</v>
      </c>
      <c r="F180" s="136">
        <f>COTIZADOR!H211</f>
        <v>0</v>
      </c>
      <c r="G180" s="136">
        <f>COTIZADOR!I211</f>
        <v>0</v>
      </c>
      <c r="H180" s="136">
        <f>COTIZADOR!J211</f>
        <v>0</v>
      </c>
      <c r="I180" s="136">
        <f>COTIZADOR!K211</f>
        <v>174</v>
      </c>
      <c r="J180" s="137">
        <f>COTIZADOR!L211+E180</f>
        <v>174</v>
      </c>
      <c r="K180" s="18"/>
    </row>
    <row r="181" spans="1:11" x14ac:dyDescent="0.25">
      <c r="A181" s="18"/>
      <c r="B181" s="135">
        <f>COTIZADOR!E212</f>
        <v>177</v>
      </c>
      <c r="C181" s="136">
        <f>COTIZADOR!F212</f>
        <v>0</v>
      </c>
      <c r="D181" s="136">
        <f>COTIZADOR!G212</f>
        <v>0</v>
      </c>
      <c r="E181" s="136">
        <f>IF(COTIZADOR!$G$301="LIQUIDEZ HIPOTECARIA",D181*16%,0)</f>
        <v>0</v>
      </c>
      <c r="F181" s="136">
        <f>COTIZADOR!H212</f>
        <v>0</v>
      </c>
      <c r="G181" s="136">
        <f>COTIZADOR!I212</f>
        <v>0</v>
      </c>
      <c r="H181" s="136">
        <f>COTIZADOR!J212</f>
        <v>0</v>
      </c>
      <c r="I181" s="136">
        <f>COTIZADOR!K212</f>
        <v>174</v>
      </c>
      <c r="J181" s="137">
        <f>COTIZADOR!L212+E181</f>
        <v>174</v>
      </c>
      <c r="K181" s="18"/>
    </row>
    <row r="182" spans="1:11" x14ac:dyDescent="0.25">
      <c r="A182" s="18"/>
      <c r="B182" s="135">
        <f>COTIZADOR!E213</f>
        <v>178</v>
      </c>
      <c r="C182" s="136">
        <f>COTIZADOR!F213</f>
        <v>0</v>
      </c>
      <c r="D182" s="136">
        <f>COTIZADOR!G213</f>
        <v>0</v>
      </c>
      <c r="E182" s="136">
        <f>IF(COTIZADOR!$G$301="LIQUIDEZ HIPOTECARIA",D182*16%,0)</f>
        <v>0</v>
      </c>
      <c r="F182" s="136">
        <f>COTIZADOR!H213</f>
        <v>0</v>
      </c>
      <c r="G182" s="136">
        <f>COTIZADOR!I213</f>
        <v>0</v>
      </c>
      <c r="H182" s="136">
        <f>COTIZADOR!J213</f>
        <v>0</v>
      </c>
      <c r="I182" s="136">
        <f>COTIZADOR!K213</f>
        <v>174</v>
      </c>
      <c r="J182" s="137">
        <f>COTIZADOR!L213+E182</f>
        <v>174</v>
      </c>
      <c r="K182" s="18"/>
    </row>
    <row r="183" spans="1:11" x14ac:dyDescent="0.25">
      <c r="A183" s="18"/>
      <c r="B183" s="135">
        <f>COTIZADOR!E214</f>
        <v>179</v>
      </c>
      <c r="C183" s="136">
        <f>COTIZADOR!F214</f>
        <v>0</v>
      </c>
      <c r="D183" s="136">
        <f>COTIZADOR!G214</f>
        <v>0</v>
      </c>
      <c r="E183" s="136">
        <f>IF(COTIZADOR!$G$301="LIQUIDEZ HIPOTECARIA",D183*16%,0)</f>
        <v>0</v>
      </c>
      <c r="F183" s="136">
        <f>COTIZADOR!H214</f>
        <v>0</v>
      </c>
      <c r="G183" s="136">
        <f>COTIZADOR!I214</f>
        <v>0</v>
      </c>
      <c r="H183" s="136">
        <f>COTIZADOR!J214</f>
        <v>0</v>
      </c>
      <c r="I183" s="136">
        <f>COTIZADOR!K214</f>
        <v>174</v>
      </c>
      <c r="J183" s="137">
        <f>COTIZADOR!L214+E183</f>
        <v>174</v>
      </c>
      <c r="K183" s="18"/>
    </row>
    <row r="184" spans="1:11" x14ac:dyDescent="0.25">
      <c r="A184" s="18"/>
      <c r="B184" s="135">
        <f>COTIZADOR!E215</f>
        <v>180</v>
      </c>
      <c r="C184" s="136">
        <f>COTIZADOR!F215</f>
        <v>0</v>
      </c>
      <c r="D184" s="136">
        <f>COTIZADOR!G215</f>
        <v>0</v>
      </c>
      <c r="E184" s="136">
        <f>IF(COTIZADOR!$G$301="LIQUIDEZ HIPOTECARIA",D184*16%,0)</f>
        <v>0</v>
      </c>
      <c r="F184" s="136">
        <f>COTIZADOR!H215</f>
        <v>0</v>
      </c>
      <c r="G184" s="136">
        <f>COTIZADOR!I215</f>
        <v>0</v>
      </c>
      <c r="H184" s="136">
        <f>COTIZADOR!J215</f>
        <v>0</v>
      </c>
      <c r="I184" s="136">
        <f>COTIZADOR!K215</f>
        <v>174</v>
      </c>
      <c r="J184" s="137">
        <f>COTIZADOR!L215+E184</f>
        <v>174</v>
      </c>
      <c r="K184" s="18"/>
    </row>
    <row r="185" spans="1:11" x14ac:dyDescent="0.25">
      <c r="A185" s="18"/>
      <c r="B185" s="135">
        <f>COTIZADOR!E216</f>
        <v>181</v>
      </c>
      <c r="C185" s="136">
        <f>COTIZADOR!F216</f>
        <v>0</v>
      </c>
      <c r="D185" s="136">
        <f>COTIZADOR!G216</f>
        <v>0</v>
      </c>
      <c r="E185" s="136">
        <f>IF(COTIZADOR!$G$301="LIQUIDEZ HIPOTECARIA",D185*16%,0)</f>
        <v>0</v>
      </c>
      <c r="F185" s="136">
        <f>COTIZADOR!H216</f>
        <v>0</v>
      </c>
      <c r="G185" s="136">
        <f>COTIZADOR!I216</f>
        <v>0</v>
      </c>
      <c r="H185" s="136">
        <f>COTIZADOR!J216</f>
        <v>0</v>
      </c>
      <c r="I185" s="136">
        <f>COTIZADOR!K216</f>
        <v>174</v>
      </c>
      <c r="J185" s="137">
        <f>COTIZADOR!L216+E185</f>
        <v>174</v>
      </c>
      <c r="K185" s="18"/>
    </row>
    <row r="186" spans="1:11" x14ac:dyDescent="0.25">
      <c r="A186" s="18"/>
      <c r="B186" s="135">
        <f>COTIZADOR!E217</f>
        <v>182</v>
      </c>
      <c r="C186" s="136">
        <f>COTIZADOR!F217</f>
        <v>0</v>
      </c>
      <c r="D186" s="136">
        <f>COTIZADOR!G217</f>
        <v>0</v>
      </c>
      <c r="E186" s="136">
        <f>IF(COTIZADOR!$G$301="LIQUIDEZ HIPOTECARIA",D186*16%,0)</f>
        <v>0</v>
      </c>
      <c r="F186" s="136">
        <f>COTIZADOR!H217</f>
        <v>0</v>
      </c>
      <c r="G186" s="136">
        <f>COTIZADOR!I217</f>
        <v>0</v>
      </c>
      <c r="H186" s="136">
        <f>COTIZADOR!J217</f>
        <v>0</v>
      </c>
      <c r="I186" s="136">
        <f>COTIZADOR!K217</f>
        <v>174</v>
      </c>
      <c r="J186" s="137">
        <f>COTIZADOR!L217+E186</f>
        <v>174</v>
      </c>
      <c r="K186" s="18"/>
    </row>
    <row r="187" spans="1:11" x14ac:dyDescent="0.25">
      <c r="A187" s="18"/>
      <c r="B187" s="135">
        <f>COTIZADOR!E218</f>
        <v>183</v>
      </c>
      <c r="C187" s="136">
        <f>COTIZADOR!F218</f>
        <v>0</v>
      </c>
      <c r="D187" s="136">
        <f>COTIZADOR!G218</f>
        <v>0</v>
      </c>
      <c r="E187" s="136">
        <f>IF(COTIZADOR!$G$301="LIQUIDEZ HIPOTECARIA",D187*16%,0)</f>
        <v>0</v>
      </c>
      <c r="F187" s="136">
        <f>COTIZADOR!H218</f>
        <v>0</v>
      </c>
      <c r="G187" s="136">
        <f>COTIZADOR!I218</f>
        <v>0</v>
      </c>
      <c r="H187" s="136">
        <f>COTIZADOR!J218</f>
        <v>0</v>
      </c>
      <c r="I187" s="136">
        <f>COTIZADOR!K218</f>
        <v>174</v>
      </c>
      <c r="J187" s="137">
        <f>COTIZADOR!L218+E187</f>
        <v>174</v>
      </c>
      <c r="K187" s="18"/>
    </row>
    <row r="188" spans="1:11" x14ac:dyDescent="0.25">
      <c r="A188" s="18"/>
      <c r="B188" s="135">
        <f>COTIZADOR!E219</f>
        <v>184</v>
      </c>
      <c r="C188" s="136">
        <f>COTIZADOR!F219</f>
        <v>0</v>
      </c>
      <c r="D188" s="136">
        <f>COTIZADOR!G219</f>
        <v>0</v>
      </c>
      <c r="E188" s="136">
        <f>IF(COTIZADOR!$G$301="LIQUIDEZ HIPOTECARIA",D188*16%,0)</f>
        <v>0</v>
      </c>
      <c r="F188" s="136">
        <f>COTIZADOR!H219</f>
        <v>0</v>
      </c>
      <c r="G188" s="136">
        <f>COTIZADOR!I219</f>
        <v>0</v>
      </c>
      <c r="H188" s="136">
        <f>COTIZADOR!J219</f>
        <v>0</v>
      </c>
      <c r="I188" s="136">
        <f>COTIZADOR!K219</f>
        <v>174</v>
      </c>
      <c r="J188" s="137">
        <f>COTIZADOR!L219+E188</f>
        <v>174</v>
      </c>
      <c r="K188" s="18"/>
    </row>
    <row r="189" spans="1:11" x14ac:dyDescent="0.25">
      <c r="A189" s="18"/>
      <c r="B189" s="135">
        <f>COTIZADOR!E220</f>
        <v>185</v>
      </c>
      <c r="C189" s="136">
        <f>COTIZADOR!F220</f>
        <v>0</v>
      </c>
      <c r="D189" s="136">
        <f>COTIZADOR!G220</f>
        <v>0</v>
      </c>
      <c r="E189" s="136">
        <f>IF(COTIZADOR!$G$301="LIQUIDEZ HIPOTECARIA",D189*16%,0)</f>
        <v>0</v>
      </c>
      <c r="F189" s="136">
        <f>COTIZADOR!H220</f>
        <v>0</v>
      </c>
      <c r="G189" s="136">
        <f>COTIZADOR!I220</f>
        <v>0</v>
      </c>
      <c r="H189" s="136">
        <f>COTIZADOR!J220</f>
        <v>0</v>
      </c>
      <c r="I189" s="136">
        <f>COTIZADOR!K220</f>
        <v>174</v>
      </c>
      <c r="J189" s="137">
        <f>COTIZADOR!L220+E189</f>
        <v>174</v>
      </c>
      <c r="K189" s="18"/>
    </row>
    <row r="190" spans="1:11" x14ac:dyDescent="0.25">
      <c r="A190" s="18"/>
      <c r="B190" s="135">
        <f>COTIZADOR!E221</f>
        <v>186</v>
      </c>
      <c r="C190" s="136">
        <f>COTIZADOR!F221</f>
        <v>0</v>
      </c>
      <c r="D190" s="136">
        <f>COTIZADOR!G221</f>
        <v>0</v>
      </c>
      <c r="E190" s="136">
        <f>IF(COTIZADOR!$G$301="LIQUIDEZ HIPOTECARIA",D190*16%,0)</f>
        <v>0</v>
      </c>
      <c r="F190" s="136">
        <f>COTIZADOR!H221</f>
        <v>0</v>
      </c>
      <c r="G190" s="136">
        <f>COTIZADOR!I221</f>
        <v>0</v>
      </c>
      <c r="H190" s="136">
        <f>COTIZADOR!J221</f>
        <v>0</v>
      </c>
      <c r="I190" s="136">
        <f>COTIZADOR!K221</f>
        <v>174</v>
      </c>
      <c r="J190" s="137">
        <f>COTIZADOR!L221+E190</f>
        <v>174</v>
      </c>
      <c r="K190" s="18"/>
    </row>
    <row r="191" spans="1:11" x14ac:dyDescent="0.25">
      <c r="A191" s="18"/>
      <c r="B191" s="135">
        <f>COTIZADOR!E222</f>
        <v>187</v>
      </c>
      <c r="C191" s="136">
        <f>COTIZADOR!F222</f>
        <v>0</v>
      </c>
      <c r="D191" s="136">
        <f>COTIZADOR!G222</f>
        <v>0</v>
      </c>
      <c r="E191" s="136">
        <f>IF(COTIZADOR!$G$301="LIQUIDEZ HIPOTECARIA",D191*16%,0)</f>
        <v>0</v>
      </c>
      <c r="F191" s="136">
        <f>COTIZADOR!H222</f>
        <v>0</v>
      </c>
      <c r="G191" s="136">
        <f>COTIZADOR!I222</f>
        <v>0</v>
      </c>
      <c r="H191" s="136">
        <f>COTIZADOR!J222</f>
        <v>0</v>
      </c>
      <c r="I191" s="136">
        <f>COTIZADOR!K222</f>
        <v>174</v>
      </c>
      <c r="J191" s="137">
        <f>COTIZADOR!L222+E191</f>
        <v>174</v>
      </c>
      <c r="K191" s="18"/>
    </row>
    <row r="192" spans="1:11" x14ac:dyDescent="0.25">
      <c r="A192" s="18"/>
      <c r="B192" s="135">
        <f>COTIZADOR!E223</f>
        <v>188</v>
      </c>
      <c r="C192" s="136">
        <f>COTIZADOR!F223</f>
        <v>0</v>
      </c>
      <c r="D192" s="136">
        <f>COTIZADOR!G223</f>
        <v>0</v>
      </c>
      <c r="E192" s="136">
        <f>IF(COTIZADOR!$G$301="LIQUIDEZ HIPOTECARIA",D192*16%,0)</f>
        <v>0</v>
      </c>
      <c r="F192" s="136">
        <f>COTIZADOR!H223</f>
        <v>0</v>
      </c>
      <c r="G192" s="136">
        <f>COTIZADOR!I223</f>
        <v>0</v>
      </c>
      <c r="H192" s="136">
        <f>COTIZADOR!J223</f>
        <v>0</v>
      </c>
      <c r="I192" s="136">
        <f>COTIZADOR!K223</f>
        <v>174</v>
      </c>
      <c r="J192" s="137">
        <f>COTIZADOR!L223+E192</f>
        <v>174</v>
      </c>
      <c r="K192" s="18"/>
    </row>
    <row r="193" spans="1:11" x14ac:dyDescent="0.25">
      <c r="A193" s="18"/>
      <c r="B193" s="135">
        <f>COTIZADOR!E224</f>
        <v>189</v>
      </c>
      <c r="C193" s="136">
        <f>COTIZADOR!F224</f>
        <v>0</v>
      </c>
      <c r="D193" s="136">
        <f>COTIZADOR!G224</f>
        <v>0</v>
      </c>
      <c r="E193" s="136">
        <f>IF(COTIZADOR!$G$301="LIQUIDEZ HIPOTECARIA",D193*16%,0)</f>
        <v>0</v>
      </c>
      <c r="F193" s="136">
        <f>COTIZADOR!H224</f>
        <v>0</v>
      </c>
      <c r="G193" s="136">
        <f>COTIZADOR!I224</f>
        <v>0</v>
      </c>
      <c r="H193" s="136">
        <f>COTIZADOR!J224</f>
        <v>0</v>
      </c>
      <c r="I193" s="136">
        <f>COTIZADOR!K224</f>
        <v>174</v>
      </c>
      <c r="J193" s="137">
        <f>COTIZADOR!L224+E193</f>
        <v>174</v>
      </c>
      <c r="K193" s="18"/>
    </row>
    <row r="194" spans="1:11" x14ac:dyDescent="0.25">
      <c r="A194" s="18"/>
      <c r="B194" s="135">
        <f>COTIZADOR!E225</f>
        <v>190</v>
      </c>
      <c r="C194" s="136">
        <f>COTIZADOR!F225</f>
        <v>0</v>
      </c>
      <c r="D194" s="136">
        <f>COTIZADOR!G225</f>
        <v>0</v>
      </c>
      <c r="E194" s="136">
        <f>IF(COTIZADOR!$G$301="LIQUIDEZ HIPOTECARIA",D194*16%,0)</f>
        <v>0</v>
      </c>
      <c r="F194" s="136">
        <f>COTIZADOR!H225</f>
        <v>0</v>
      </c>
      <c r="G194" s="136">
        <f>COTIZADOR!I225</f>
        <v>0</v>
      </c>
      <c r="H194" s="136">
        <f>COTIZADOR!J225</f>
        <v>0</v>
      </c>
      <c r="I194" s="136">
        <f>COTIZADOR!K225</f>
        <v>174</v>
      </c>
      <c r="J194" s="137">
        <f>COTIZADOR!L225+E194</f>
        <v>174</v>
      </c>
      <c r="K194" s="18"/>
    </row>
    <row r="195" spans="1:11" x14ac:dyDescent="0.25">
      <c r="A195" s="18"/>
      <c r="B195" s="135">
        <f>COTIZADOR!E226</f>
        <v>191</v>
      </c>
      <c r="C195" s="136">
        <f>COTIZADOR!F226</f>
        <v>0</v>
      </c>
      <c r="D195" s="136">
        <f>COTIZADOR!G226</f>
        <v>0</v>
      </c>
      <c r="E195" s="136">
        <f>IF(COTIZADOR!$G$301="LIQUIDEZ HIPOTECARIA",D195*16%,0)</f>
        <v>0</v>
      </c>
      <c r="F195" s="136">
        <f>COTIZADOR!H226</f>
        <v>0</v>
      </c>
      <c r="G195" s="136">
        <f>COTIZADOR!I226</f>
        <v>0</v>
      </c>
      <c r="H195" s="136">
        <f>COTIZADOR!J226</f>
        <v>0</v>
      </c>
      <c r="I195" s="136">
        <f>COTIZADOR!K226</f>
        <v>174</v>
      </c>
      <c r="J195" s="137">
        <f>COTIZADOR!L226+E195</f>
        <v>174</v>
      </c>
      <c r="K195" s="18"/>
    </row>
    <row r="196" spans="1:11" x14ac:dyDescent="0.25">
      <c r="A196" s="18"/>
      <c r="B196" s="135">
        <f>COTIZADOR!E227</f>
        <v>192</v>
      </c>
      <c r="C196" s="136">
        <f>COTIZADOR!F227</f>
        <v>0</v>
      </c>
      <c r="D196" s="136">
        <f>COTIZADOR!G227</f>
        <v>0</v>
      </c>
      <c r="E196" s="136">
        <f>IF(COTIZADOR!$G$301="LIQUIDEZ HIPOTECARIA",D196*16%,0)</f>
        <v>0</v>
      </c>
      <c r="F196" s="136">
        <f>COTIZADOR!H227</f>
        <v>0</v>
      </c>
      <c r="G196" s="136">
        <f>COTIZADOR!I227</f>
        <v>0</v>
      </c>
      <c r="H196" s="136">
        <f>COTIZADOR!J227</f>
        <v>0</v>
      </c>
      <c r="I196" s="136">
        <f>COTIZADOR!K227</f>
        <v>174</v>
      </c>
      <c r="J196" s="137">
        <f>COTIZADOR!L227+E196</f>
        <v>174</v>
      </c>
      <c r="K196" s="18"/>
    </row>
    <row r="197" spans="1:11" x14ac:dyDescent="0.25">
      <c r="A197" s="18"/>
      <c r="B197" s="135">
        <f>COTIZADOR!E228</f>
        <v>193</v>
      </c>
      <c r="C197" s="136">
        <f>COTIZADOR!F228</f>
        <v>0</v>
      </c>
      <c r="D197" s="136">
        <f>COTIZADOR!G228</f>
        <v>0</v>
      </c>
      <c r="E197" s="136">
        <f>IF(COTIZADOR!$G$301="LIQUIDEZ HIPOTECARIA",D197*16%,0)</f>
        <v>0</v>
      </c>
      <c r="F197" s="136">
        <f>COTIZADOR!H228</f>
        <v>0</v>
      </c>
      <c r="G197" s="136">
        <f>COTIZADOR!I228</f>
        <v>0</v>
      </c>
      <c r="H197" s="136">
        <f>COTIZADOR!J228</f>
        <v>0</v>
      </c>
      <c r="I197" s="136">
        <f>COTIZADOR!K228</f>
        <v>174</v>
      </c>
      <c r="J197" s="137">
        <f>COTIZADOR!L228+E197</f>
        <v>174</v>
      </c>
      <c r="K197" s="18"/>
    </row>
    <row r="198" spans="1:11" x14ac:dyDescent="0.25">
      <c r="A198" s="18"/>
      <c r="B198" s="135">
        <f>COTIZADOR!E229</f>
        <v>194</v>
      </c>
      <c r="C198" s="136">
        <f>COTIZADOR!F229</f>
        <v>0</v>
      </c>
      <c r="D198" s="136">
        <f>COTIZADOR!G229</f>
        <v>0</v>
      </c>
      <c r="E198" s="136">
        <f>IF(COTIZADOR!$G$301="LIQUIDEZ HIPOTECARIA",D198*16%,0)</f>
        <v>0</v>
      </c>
      <c r="F198" s="136">
        <f>COTIZADOR!H229</f>
        <v>0</v>
      </c>
      <c r="G198" s="136">
        <f>COTIZADOR!I229</f>
        <v>0</v>
      </c>
      <c r="H198" s="136">
        <f>COTIZADOR!J229</f>
        <v>0</v>
      </c>
      <c r="I198" s="136">
        <f>COTIZADOR!K229</f>
        <v>174</v>
      </c>
      <c r="J198" s="137">
        <f>COTIZADOR!L229+E198</f>
        <v>174</v>
      </c>
      <c r="K198" s="18"/>
    </row>
    <row r="199" spans="1:11" x14ac:dyDescent="0.25">
      <c r="A199" s="18"/>
      <c r="B199" s="135">
        <f>COTIZADOR!E230</f>
        <v>195</v>
      </c>
      <c r="C199" s="136">
        <f>COTIZADOR!F230</f>
        <v>0</v>
      </c>
      <c r="D199" s="136">
        <f>COTIZADOR!G230</f>
        <v>0</v>
      </c>
      <c r="E199" s="136">
        <f>IF(COTIZADOR!$G$301="LIQUIDEZ HIPOTECARIA",D199*16%,0)</f>
        <v>0</v>
      </c>
      <c r="F199" s="136">
        <f>COTIZADOR!H230</f>
        <v>0</v>
      </c>
      <c r="G199" s="136">
        <f>COTIZADOR!I230</f>
        <v>0</v>
      </c>
      <c r="H199" s="136">
        <f>COTIZADOR!J230</f>
        <v>0</v>
      </c>
      <c r="I199" s="136">
        <f>COTIZADOR!K230</f>
        <v>174</v>
      </c>
      <c r="J199" s="137">
        <f>COTIZADOR!L230+E199</f>
        <v>174</v>
      </c>
      <c r="K199" s="18"/>
    </row>
    <row r="200" spans="1:11" x14ac:dyDescent="0.25">
      <c r="A200" s="18"/>
      <c r="B200" s="135">
        <f>COTIZADOR!E231</f>
        <v>196</v>
      </c>
      <c r="C200" s="136">
        <f>COTIZADOR!F231</f>
        <v>0</v>
      </c>
      <c r="D200" s="136">
        <f>COTIZADOR!G231</f>
        <v>0</v>
      </c>
      <c r="E200" s="136">
        <f>IF(COTIZADOR!$G$301="LIQUIDEZ HIPOTECARIA",D200*16%,0)</f>
        <v>0</v>
      </c>
      <c r="F200" s="136">
        <f>COTIZADOR!H231</f>
        <v>0</v>
      </c>
      <c r="G200" s="136">
        <f>COTIZADOR!I231</f>
        <v>0</v>
      </c>
      <c r="H200" s="136">
        <f>COTIZADOR!J231</f>
        <v>0</v>
      </c>
      <c r="I200" s="136">
        <f>COTIZADOR!K231</f>
        <v>174</v>
      </c>
      <c r="J200" s="137">
        <f>COTIZADOR!L231+E200</f>
        <v>174</v>
      </c>
      <c r="K200" s="18"/>
    </row>
    <row r="201" spans="1:11" x14ac:dyDescent="0.25">
      <c r="A201" s="18"/>
      <c r="B201" s="135">
        <f>COTIZADOR!E232</f>
        <v>197</v>
      </c>
      <c r="C201" s="136">
        <f>COTIZADOR!F232</f>
        <v>0</v>
      </c>
      <c r="D201" s="136">
        <f>COTIZADOR!G232</f>
        <v>0</v>
      </c>
      <c r="E201" s="136">
        <f>IF(COTIZADOR!$G$301="LIQUIDEZ HIPOTECARIA",D201*16%,0)</f>
        <v>0</v>
      </c>
      <c r="F201" s="136">
        <f>COTIZADOR!H232</f>
        <v>0</v>
      </c>
      <c r="G201" s="136">
        <f>COTIZADOR!I232</f>
        <v>0</v>
      </c>
      <c r="H201" s="136">
        <f>COTIZADOR!J232</f>
        <v>0</v>
      </c>
      <c r="I201" s="136">
        <f>COTIZADOR!K232</f>
        <v>174</v>
      </c>
      <c r="J201" s="137">
        <f>COTIZADOR!L232+E201</f>
        <v>174</v>
      </c>
      <c r="K201" s="18"/>
    </row>
    <row r="202" spans="1:11" x14ac:dyDescent="0.25">
      <c r="A202" s="18"/>
      <c r="B202" s="135">
        <f>COTIZADOR!E233</f>
        <v>198</v>
      </c>
      <c r="C202" s="136">
        <f>COTIZADOR!F233</f>
        <v>0</v>
      </c>
      <c r="D202" s="136">
        <f>COTIZADOR!G233</f>
        <v>0</v>
      </c>
      <c r="E202" s="136">
        <f>IF(COTIZADOR!$G$301="LIQUIDEZ HIPOTECARIA",D202*16%,0)</f>
        <v>0</v>
      </c>
      <c r="F202" s="136">
        <f>COTIZADOR!H233</f>
        <v>0</v>
      </c>
      <c r="G202" s="136">
        <f>COTIZADOR!I233</f>
        <v>0</v>
      </c>
      <c r="H202" s="136">
        <f>COTIZADOR!J233</f>
        <v>0</v>
      </c>
      <c r="I202" s="136">
        <f>COTIZADOR!K233</f>
        <v>174</v>
      </c>
      <c r="J202" s="137">
        <f>COTIZADOR!L233+E202</f>
        <v>174</v>
      </c>
      <c r="K202" s="18"/>
    </row>
    <row r="203" spans="1:11" x14ac:dyDescent="0.25">
      <c r="A203" s="18"/>
      <c r="B203" s="135">
        <f>COTIZADOR!E234</f>
        <v>199</v>
      </c>
      <c r="C203" s="136">
        <f>COTIZADOR!F234</f>
        <v>0</v>
      </c>
      <c r="D203" s="136">
        <f>COTIZADOR!G234</f>
        <v>0</v>
      </c>
      <c r="E203" s="136">
        <f>IF(COTIZADOR!$G$301="LIQUIDEZ HIPOTECARIA",D203*16%,0)</f>
        <v>0</v>
      </c>
      <c r="F203" s="136">
        <f>COTIZADOR!H234</f>
        <v>0</v>
      </c>
      <c r="G203" s="136">
        <f>COTIZADOR!I234</f>
        <v>0</v>
      </c>
      <c r="H203" s="136">
        <f>COTIZADOR!J234</f>
        <v>0</v>
      </c>
      <c r="I203" s="136">
        <f>COTIZADOR!K234</f>
        <v>174</v>
      </c>
      <c r="J203" s="137">
        <f>COTIZADOR!L234+E203</f>
        <v>174</v>
      </c>
      <c r="K203" s="18"/>
    </row>
    <row r="204" spans="1:11" x14ac:dyDescent="0.25">
      <c r="A204" s="18"/>
      <c r="B204" s="135">
        <f>COTIZADOR!E235</f>
        <v>200</v>
      </c>
      <c r="C204" s="136">
        <f>COTIZADOR!F235</f>
        <v>0</v>
      </c>
      <c r="D204" s="136">
        <f>COTIZADOR!G235</f>
        <v>0</v>
      </c>
      <c r="E204" s="136">
        <f>IF(COTIZADOR!$G$301="LIQUIDEZ HIPOTECARIA",D204*16%,0)</f>
        <v>0</v>
      </c>
      <c r="F204" s="136">
        <f>COTIZADOR!H235</f>
        <v>0</v>
      </c>
      <c r="G204" s="136">
        <f>COTIZADOR!I235</f>
        <v>0</v>
      </c>
      <c r="H204" s="136">
        <f>COTIZADOR!J235</f>
        <v>0</v>
      </c>
      <c r="I204" s="136">
        <f>COTIZADOR!K235</f>
        <v>174</v>
      </c>
      <c r="J204" s="137">
        <f>COTIZADOR!L235+E204</f>
        <v>174</v>
      </c>
      <c r="K204" s="18"/>
    </row>
    <row r="205" spans="1:11" x14ac:dyDescent="0.25">
      <c r="A205" s="18"/>
      <c r="B205" s="135">
        <f>COTIZADOR!E236</f>
        <v>201</v>
      </c>
      <c r="C205" s="136">
        <f>COTIZADOR!F236</f>
        <v>0</v>
      </c>
      <c r="D205" s="136">
        <f>COTIZADOR!G236</f>
        <v>0</v>
      </c>
      <c r="E205" s="136">
        <f>IF(COTIZADOR!$G$301="LIQUIDEZ HIPOTECARIA",D205*16%,0)</f>
        <v>0</v>
      </c>
      <c r="F205" s="136">
        <f>COTIZADOR!H236</f>
        <v>0</v>
      </c>
      <c r="G205" s="136">
        <f>COTIZADOR!I236</f>
        <v>0</v>
      </c>
      <c r="H205" s="136">
        <f>COTIZADOR!J236</f>
        <v>0</v>
      </c>
      <c r="I205" s="136">
        <f>COTIZADOR!K236</f>
        <v>174</v>
      </c>
      <c r="J205" s="137">
        <f>COTIZADOR!L236+E205</f>
        <v>174</v>
      </c>
      <c r="K205" s="18"/>
    </row>
    <row r="206" spans="1:11" x14ac:dyDescent="0.25">
      <c r="A206" s="18"/>
      <c r="B206" s="135">
        <f>COTIZADOR!E237</f>
        <v>202</v>
      </c>
      <c r="C206" s="136">
        <f>COTIZADOR!F237</f>
        <v>0</v>
      </c>
      <c r="D206" s="136">
        <f>COTIZADOR!G237</f>
        <v>0</v>
      </c>
      <c r="E206" s="136">
        <f>IF(COTIZADOR!$G$301="LIQUIDEZ HIPOTECARIA",D206*16%,0)</f>
        <v>0</v>
      </c>
      <c r="F206" s="136">
        <f>COTIZADOR!H237</f>
        <v>0</v>
      </c>
      <c r="G206" s="136">
        <f>COTIZADOR!I237</f>
        <v>0</v>
      </c>
      <c r="H206" s="136">
        <f>COTIZADOR!J237</f>
        <v>0</v>
      </c>
      <c r="I206" s="136">
        <f>COTIZADOR!K237</f>
        <v>174</v>
      </c>
      <c r="J206" s="137">
        <f>COTIZADOR!L237+E206</f>
        <v>174</v>
      </c>
      <c r="K206" s="18"/>
    </row>
    <row r="207" spans="1:11" x14ac:dyDescent="0.25">
      <c r="A207" s="18"/>
      <c r="B207" s="135">
        <f>COTIZADOR!E238</f>
        <v>203</v>
      </c>
      <c r="C207" s="136">
        <f>COTIZADOR!F238</f>
        <v>0</v>
      </c>
      <c r="D207" s="136">
        <f>COTIZADOR!G238</f>
        <v>0</v>
      </c>
      <c r="E207" s="136">
        <f>IF(COTIZADOR!$G$301="LIQUIDEZ HIPOTECARIA",D207*16%,0)</f>
        <v>0</v>
      </c>
      <c r="F207" s="136">
        <f>COTIZADOR!H238</f>
        <v>0</v>
      </c>
      <c r="G207" s="136">
        <f>COTIZADOR!I238</f>
        <v>0</v>
      </c>
      <c r="H207" s="136">
        <f>COTIZADOR!J238</f>
        <v>0</v>
      </c>
      <c r="I207" s="136">
        <f>COTIZADOR!K238</f>
        <v>174</v>
      </c>
      <c r="J207" s="137">
        <f>COTIZADOR!L238+E207</f>
        <v>174</v>
      </c>
      <c r="K207" s="18"/>
    </row>
    <row r="208" spans="1:11" x14ac:dyDescent="0.25">
      <c r="A208" s="18"/>
      <c r="B208" s="135">
        <f>COTIZADOR!E239</f>
        <v>204</v>
      </c>
      <c r="C208" s="136">
        <f>COTIZADOR!F239</f>
        <v>0</v>
      </c>
      <c r="D208" s="136">
        <f>COTIZADOR!G239</f>
        <v>0</v>
      </c>
      <c r="E208" s="136">
        <f>IF(COTIZADOR!$G$301="LIQUIDEZ HIPOTECARIA",D208*16%,0)</f>
        <v>0</v>
      </c>
      <c r="F208" s="136">
        <f>COTIZADOR!H239</f>
        <v>0</v>
      </c>
      <c r="G208" s="136">
        <f>COTIZADOR!I239</f>
        <v>0</v>
      </c>
      <c r="H208" s="136">
        <f>COTIZADOR!J239</f>
        <v>0</v>
      </c>
      <c r="I208" s="136">
        <f>COTIZADOR!K239</f>
        <v>174</v>
      </c>
      <c r="J208" s="137">
        <f>COTIZADOR!L239+E208</f>
        <v>174</v>
      </c>
      <c r="K208" s="18"/>
    </row>
    <row r="209" spans="1:11" x14ac:dyDescent="0.25">
      <c r="A209" s="18"/>
      <c r="B209" s="135">
        <f>COTIZADOR!E240</f>
        <v>205</v>
      </c>
      <c r="C209" s="136">
        <f>COTIZADOR!F240</f>
        <v>0</v>
      </c>
      <c r="D209" s="136">
        <f>COTIZADOR!G240</f>
        <v>0</v>
      </c>
      <c r="E209" s="136">
        <f>IF(COTIZADOR!$G$301="LIQUIDEZ HIPOTECARIA",D209*16%,0)</f>
        <v>0</v>
      </c>
      <c r="F209" s="136">
        <f>COTIZADOR!H240</f>
        <v>0</v>
      </c>
      <c r="G209" s="136">
        <f>COTIZADOR!I240</f>
        <v>0</v>
      </c>
      <c r="H209" s="136">
        <f>COTIZADOR!J240</f>
        <v>0</v>
      </c>
      <c r="I209" s="136">
        <f>COTIZADOR!K240</f>
        <v>174</v>
      </c>
      <c r="J209" s="137">
        <f>COTIZADOR!L240+E209</f>
        <v>174</v>
      </c>
      <c r="K209" s="18"/>
    </row>
    <row r="210" spans="1:11" x14ac:dyDescent="0.25">
      <c r="A210" s="18"/>
      <c r="B210" s="135">
        <f>COTIZADOR!E241</f>
        <v>206</v>
      </c>
      <c r="C210" s="136">
        <f>COTIZADOR!F241</f>
        <v>0</v>
      </c>
      <c r="D210" s="136">
        <f>COTIZADOR!G241</f>
        <v>0</v>
      </c>
      <c r="E210" s="136">
        <f>IF(COTIZADOR!$G$301="LIQUIDEZ HIPOTECARIA",D210*16%,0)</f>
        <v>0</v>
      </c>
      <c r="F210" s="136">
        <f>COTIZADOR!H241</f>
        <v>0</v>
      </c>
      <c r="G210" s="136">
        <f>COTIZADOR!I241</f>
        <v>0</v>
      </c>
      <c r="H210" s="136">
        <f>COTIZADOR!J241</f>
        <v>0</v>
      </c>
      <c r="I210" s="136">
        <f>COTIZADOR!K241</f>
        <v>174</v>
      </c>
      <c r="J210" s="137">
        <f>COTIZADOR!L241+E210</f>
        <v>174</v>
      </c>
      <c r="K210" s="18"/>
    </row>
    <row r="211" spans="1:11" x14ac:dyDescent="0.25">
      <c r="A211" s="18"/>
      <c r="B211" s="135">
        <f>COTIZADOR!E242</f>
        <v>207</v>
      </c>
      <c r="C211" s="136">
        <f>COTIZADOR!F242</f>
        <v>0</v>
      </c>
      <c r="D211" s="136">
        <f>COTIZADOR!G242</f>
        <v>0</v>
      </c>
      <c r="E211" s="136">
        <f>IF(COTIZADOR!$G$301="LIQUIDEZ HIPOTECARIA",D211*16%,0)</f>
        <v>0</v>
      </c>
      <c r="F211" s="136">
        <f>COTIZADOR!H242</f>
        <v>0</v>
      </c>
      <c r="G211" s="136">
        <f>COTIZADOR!I242</f>
        <v>0</v>
      </c>
      <c r="H211" s="136">
        <f>COTIZADOR!J242</f>
        <v>0</v>
      </c>
      <c r="I211" s="136">
        <f>COTIZADOR!K242</f>
        <v>174</v>
      </c>
      <c r="J211" s="137">
        <f>COTIZADOR!L242+E211</f>
        <v>174</v>
      </c>
      <c r="K211" s="18"/>
    </row>
    <row r="212" spans="1:11" x14ac:dyDescent="0.25">
      <c r="A212" s="18"/>
      <c r="B212" s="135">
        <f>COTIZADOR!E243</f>
        <v>208</v>
      </c>
      <c r="C212" s="136">
        <f>COTIZADOR!F243</f>
        <v>0</v>
      </c>
      <c r="D212" s="136">
        <f>COTIZADOR!G243</f>
        <v>0</v>
      </c>
      <c r="E212" s="136">
        <f>IF(COTIZADOR!$G$301="LIQUIDEZ HIPOTECARIA",D212*16%,0)</f>
        <v>0</v>
      </c>
      <c r="F212" s="136">
        <f>COTIZADOR!H243</f>
        <v>0</v>
      </c>
      <c r="G212" s="136">
        <f>COTIZADOR!I243</f>
        <v>0</v>
      </c>
      <c r="H212" s="136">
        <f>COTIZADOR!J243</f>
        <v>0</v>
      </c>
      <c r="I212" s="136">
        <f>COTIZADOR!K243</f>
        <v>174</v>
      </c>
      <c r="J212" s="137">
        <f>COTIZADOR!L243+E212</f>
        <v>174</v>
      </c>
      <c r="K212" s="18"/>
    </row>
    <row r="213" spans="1:11" x14ac:dyDescent="0.25">
      <c r="A213" s="18"/>
      <c r="B213" s="135">
        <f>COTIZADOR!E244</f>
        <v>209</v>
      </c>
      <c r="C213" s="136">
        <f>COTIZADOR!F244</f>
        <v>0</v>
      </c>
      <c r="D213" s="136">
        <f>COTIZADOR!G244</f>
        <v>0</v>
      </c>
      <c r="E213" s="136">
        <f>IF(COTIZADOR!$G$301="LIQUIDEZ HIPOTECARIA",D213*16%,0)</f>
        <v>0</v>
      </c>
      <c r="F213" s="136">
        <f>COTIZADOR!H244</f>
        <v>0</v>
      </c>
      <c r="G213" s="136">
        <f>COTIZADOR!I244</f>
        <v>0</v>
      </c>
      <c r="H213" s="136">
        <f>COTIZADOR!J244</f>
        <v>0</v>
      </c>
      <c r="I213" s="136">
        <f>COTIZADOR!K244</f>
        <v>174</v>
      </c>
      <c r="J213" s="137">
        <f>COTIZADOR!L244+E213</f>
        <v>174</v>
      </c>
      <c r="K213" s="18"/>
    </row>
    <row r="214" spans="1:11" x14ac:dyDescent="0.25">
      <c r="A214" s="18"/>
      <c r="B214" s="135">
        <f>COTIZADOR!E245</f>
        <v>210</v>
      </c>
      <c r="C214" s="136">
        <f>COTIZADOR!F245</f>
        <v>0</v>
      </c>
      <c r="D214" s="136">
        <f>COTIZADOR!G245</f>
        <v>0</v>
      </c>
      <c r="E214" s="136">
        <f>IF(COTIZADOR!$G$301="LIQUIDEZ HIPOTECARIA",D214*16%,0)</f>
        <v>0</v>
      </c>
      <c r="F214" s="136">
        <f>COTIZADOR!H245</f>
        <v>0</v>
      </c>
      <c r="G214" s="136">
        <f>COTIZADOR!I245</f>
        <v>0</v>
      </c>
      <c r="H214" s="136">
        <f>COTIZADOR!J245</f>
        <v>0</v>
      </c>
      <c r="I214" s="136">
        <f>COTIZADOR!K245</f>
        <v>174</v>
      </c>
      <c r="J214" s="137">
        <f>COTIZADOR!L245+E214</f>
        <v>174</v>
      </c>
      <c r="K214" s="18"/>
    </row>
    <row r="215" spans="1:11" x14ac:dyDescent="0.25">
      <c r="A215" s="18"/>
      <c r="B215" s="135">
        <f>COTIZADOR!E246</f>
        <v>211</v>
      </c>
      <c r="C215" s="136">
        <f>COTIZADOR!F246</f>
        <v>0</v>
      </c>
      <c r="D215" s="136">
        <f>COTIZADOR!G246</f>
        <v>0</v>
      </c>
      <c r="E215" s="136">
        <f>IF(COTIZADOR!$G$301="LIQUIDEZ HIPOTECARIA",D215*16%,0)</f>
        <v>0</v>
      </c>
      <c r="F215" s="136">
        <f>COTIZADOR!H246</f>
        <v>0</v>
      </c>
      <c r="G215" s="136">
        <f>COTIZADOR!I246</f>
        <v>0</v>
      </c>
      <c r="H215" s="136">
        <f>COTIZADOR!J246</f>
        <v>0</v>
      </c>
      <c r="I215" s="136">
        <f>COTIZADOR!K246</f>
        <v>174</v>
      </c>
      <c r="J215" s="137">
        <f>COTIZADOR!L246+E215</f>
        <v>174</v>
      </c>
      <c r="K215" s="18"/>
    </row>
    <row r="216" spans="1:11" x14ac:dyDescent="0.25">
      <c r="A216" s="18"/>
      <c r="B216" s="135">
        <f>COTIZADOR!E247</f>
        <v>212</v>
      </c>
      <c r="C216" s="136">
        <f>COTIZADOR!F247</f>
        <v>0</v>
      </c>
      <c r="D216" s="136">
        <f>COTIZADOR!G247</f>
        <v>0</v>
      </c>
      <c r="E216" s="136">
        <f>IF(COTIZADOR!$G$301="LIQUIDEZ HIPOTECARIA",D216*16%,0)</f>
        <v>0</v>
      </c>
      <c r="F216" s="136">
        <f>COTIZADOR!H247</f>
        <v>0</v>
      </c>
      <c r="G216" s="136">
        <f>COTIZADOR!I247</f>
        <v>0</v>
      </c>
      <c r="H216" s="136">
        <f>COTIZADOR!J247</f>
        <v>0</v>
      </c>
      <c r="I216" s="136">
        <f>COTIZADOR!K247</f>
        <v>174</v>
      </c>
      <c r="J216" s="137">
        <f>COTIZADOR!L247+E216</f>
        <v>174</v>
      </c>
      <c r="K216" s="18"/>
    </row>
    <row r="217" spans="1:11" x14ac:dyDescent="0.25">
      <c r="A217" s="18"/>
      <c r="B217" s="135">
        <f>COTIZADOR!E248</f>
        <v>213</v>
      </c>
      <c r="C217" s="136">
        <f>COTIZADOR!F248</f>
        <v>0</v>
      </c>
      <c r="D217" s="136">
        <f>COTIZADOR!G248</f>
        <v>0</v>
      </c>
      <c r="E217" s="136">
        <f>IF(COTIZADOR!$G$301="LIQUIDEZ HIPOTECARIA",D217*16%,0)</f>
        <v>0</v>
      </c>
      <c r="F217" s="136">
        <f>COTIZADOR!H248</f>
        <v>0</v>
      </c>
      <c r="G217" s="136">
        <f>COTIZADOR!I248</f>
        <v>0</v>
      </c>
      <c r="H217" s="136">
        <f>COTIZADOR!J248</f>
        <v>0</v>
      </c>
      <c r="I217" s="136">
        <f>COTIZADOR!K248</f>
        <v>174</v>
      </c>
      <c r="J217" s="137">
        <f>COTIZADOR!L248+E217</f>
        <v>174</v>
      </c>
      <c r="K217" s="18"/>
    </row>
    <row r="218" spans="1:11" x14ac:dyDescent="0.25">
      <c r="A218" s="18"/>
      <c r="B218" s="135">
        <f>COTIZADOR!E249</f>
        <v>214</v>
      </c>
      <c r="C218" s="136">
        <f>COTIZADOR!F249</f>
        <v>0</v>
      </c>
      <c r="D218" s="136">
        <f>COTIZADOR!G249</f>
        <v>0</v>
      </c>
      <c r="E218" s="136">
        <f>IF(COTIZADOR!$G$301="LIQUIDEZ HIPOTECARIA",D218*16%,0)</f>
        <v>0</v>
      </c>
      <c r="F218" s="136">
        <f>COTIZADOR!H249</f>
        <v>0</v>
      </c>
      <c r="G218" s="136">
        <f>COTIZADOR!I249</f>
        <v>0</v>
      </c>
      <c r="H218" s="136">
        <f>COTIZADOR!J249</f>
        <v>0</v>
      </c>
      <c r="I218" s="136">
        <f>COTIZADOR!K249</f>
        <v>174</v>
      </c>
      <c r="J218" s="137">
        <f>COTIZADOR!L249+E218</f>
        <v>174</v>
      </c>
      <c r="K218" s="18"/>
    </row>
    <row r="219" spans="1:11" x14ac:dyDescent="0.25">
      <c r="A219" s="18"/>
      <c r="B219" s="135">
        <f>COTIZADOR!E250</f>
        <v>215</v>
      </c>
      <c r="C219" s="136">
        <f>COTIZADOR!F250</f>
        <v>0</v>
      </c>
      <c r="D219" s="136">
        <f>COTIZADOR!G250</f>
        <v>0</v>
      </c>
      <c r="E219" s="136">
        <f>IF(COTIZADOR!$G$301="LIQUIDEZ HIPOTECARIA",D219*16%,0)</f>
        <v>0</v>
      </c>
      <c r="F219" s="136">
        <f>COTIZADOR!H250</f>
        <v>0</v>
      </c>
      <c r="G219" s="136">
        <f>COTIZADOR!I250</f>
        <v>0</v>
      </c>
      <c r="H219" s="136">
        <f>COTIZADOR!J250</f>
        <v>0</v>
      </c>
      <c r="I219" s="136">
        <f>COTIZADOR!K250</f>
        <v>174</v>
      </c>
      <c r="J219" s="137">
        <f>COTIZADOR!L250+E219</f>
        <v>174</v>
      </c>
      <c r="K219" s="18"/>
    </row>
    <row r="220" spans="1:11" x14ac:dyDescent="0.25">
      <c r="A220" s="18"/>
      <c r="B220" s="135">
        <f>COTIZADOR!E251</f>
        <v>216</v>
      </c>
      <c r="C220" s="136">
        <f>COTIZADOR!F251</f>
        <v>0</v>
      </c>
      <c r="D220" s="136">
        <f>COTIZADOR!G251</f>
        <v>0</v>
      </c>
      <c r="E220" s="136">
        <f>IF(COTIZADOR!$G$301="LIQUIDEZ HIPOTECARIA",D220*16%,0)</f>
        <v>0</v>
      </c>
      <c r="F220" s="136">
        <f>COTIZADOR!H251</f>
        <v>0</v>
      </c>
      <c r="G220" s="136">
        <f>COTIZADOR!I251</f>
        <v>0</v>
      </c>
      <c r="H220" s="136">
        <f>COTIZADOR!J251</f>
        <v>0</v>
      </c>
      <c r="I220" s="136">
        <f>COTIZADOR!K251</f>
        <v>174</v>
      </c>
      <c r="J220" s="137">
        <f>COTIZADOR!L251+E220</f>
        <v>174</v>
      </c>
      <c r="K220" s="18"/>
    </row>
    <row r="221" spans="1:11" x14ac:dyDescent="0.25">
      <c r="A221" s="18"/>
      <c r="B221" s="135">
        <f>COTIZADOR!E252</f>
        <v>217</v>
      </c>
      <c r="C221" s="136">
        <f>COTIZADOR!F252</f>
        <v>0</v>
      </c>
      <c r="D221" s="136">
        <f>COTIZADOR!G252</f>
        <v>0</v>
      </c>
      <c r="E221" s="136">
        <f>IF(COTIZADOR!$G$301="LIQUIDEZ HIPOTECARIA",D221*16%,0)</f>
        <v>0</v>
      </c>
      <c r="F221" s="136">
        <f>COTIZADOR!H252</f>
        <v>0</v>
      </c>
      <c r="G221" s="136">
        <f>COTIZADOR!I252</f>
        <v>0</v>
      </c>
      <c r="H221" s="136">
        <f>COTIZADOR!J252</f>
        <v>0</v>
      </c>
      <c r="I221" s="136">
        <f>COTIZADOR!K252</f>
        <v>174</v>
      </c>
      <c r="J221" s="137">
        <f>COTIZADOR!L252+E221</f>
        <v>174</v>
      </c>
      <c r="K221" s="18"/>
    </row>
    <row r="222" spans="1:11" x14ac:dyDescent="0.25">
      <c r="A222" s="18"/>
      <c r="B222" s="135">
        <f>COTIZADOR!E253</f>
        <v>218</v>
      </c>
      <c r="C222" s="136">
        <f>COTIZADOR!F253</f>
        <v>0</v>
      </c>
      <c r="D222" s="136">
        <f>COTIZADOR!G253</f>
        <v>0</v>
      </c>
      <c r="E222" s="136">
        <f>IF(COTIZADOR!$G$301="LIQUIDEZ HIPOTECARIA",D222*16%,0)</f>
        <v>0</v>
      </c>
      <c r="F222" s="136">
        <f>COTIZADOR!H253</f>
        <v>0</v>
      </c>
      <c r="G222" s="136">
        <f>COTIZADOR!I253</f>
        <v>0</v>
      </c>
      <c r="H222" s="136">
        <f>COTIZADOR!J253</f>
        <v>0</v>
      </c>
      <c r="I222" s="136">
        <f>COTIZADOR!K253</f>
        <v>174</v>
      </c>
      <c r="J222" s="137">
        <f>COTIZADOR!L253+E222</f>
        <v>174</v>
      </c>
      <c r="K222" s="18"/>
    </row>
    <row r="223" spans="1:11" x14ac:dyDescent="0.25">
      <c r="A223" s="18"/>
      <c r="B223" s="135">
        <f>COTIZADOR!E254</f>
        <v>219</v>
      </c>
      <c r="C223" s="136">
        <f>COTIZADOR!F254</f>
        <v>0</v>
      </c>
      <c r="D223" s="136">
        <f>COTIZADOR!G254</f>
        <v>0</v>
      </c>
      <c r="E223" s="136">
        <f>IF(COTIZADOR!$G$301="LIQUIDEZ HIPOTECARIA",D223*16%,0)</f>
        <v>0</v>
      </c>
      <c r="F223" s="136">
        <f>COTIZADOR!H254</f>
        <v>0</v>
      </c>
      <c r="G223" s="136">
        <f>COTIZADOR!I254</f>
        <v>0</v>
      </c>
      <c r="H223" s="136">
        <f>COTIZADOR!J254</f>
        <v>0</v>
      </c>
      <c r="I223" s="136">
        <f>COTIZADOR!K254</f>
        <v>174</v>
      </c>
      <c r="J223" s="137">
        <f>COTIZADOR!L254+E223</f>
        <v>174</v>
      </c>
      <c r="K223" s="18"/>
    </row>
    <row r="224" spans="1:11" x14ac:dyDescent="0.25">
      <c r="A224" s="18"/>
      <c r="B224" s="135">
        <f>COTIZADOR!E255</f>
        <v>220</v>
      </c>
      <c r="C224" s="136">
        <f>COTIZADOR!F255</f>
        <v>0</v>
      </c>
      <c r="D224" s="136">
        <f>COTIZADOR!G255</f>
        <v>0</v>
      </c>
      <c r="E224" s="136">
        <f>IF(COTIZADOR!$G$301="LIQUIDEZ HIPOTECARIA",D224*16%,0)</f>
        <v>0</v>
      </c>
      <c r="F224" s="136">
        <f>COTIZADOR!H255</f>
        <v>0</v>
      </c>
      <c r="G224" s="136">
        <f>COTIZADOR!I255</f>
        <v>0</v>
      </c>
      <c r="H224" s="136">
        <f>COTIZADOR!J255</f>
        <v>0</v>
      </c>
      <c r="I224" s="136">
        <f>COTIZADOR!K255</f>
        <v>174</v>
      </c>
      <c r="J224" s="137">
        <f>COTIZADOR!L255+E224</f>
        <v>174</v>
      </c>
      <c r="K224" s="18"/>
    </row>
    <row r="225" spans="1:11" x14ac:dyDescent="0.25">
      <c r="A225" s="18"/>
      <c r="B225" s="135">
        <f>COTIZADOR!E256</f>
        <v>221</v>
      </c>
      <c r="C225" s="136">
        <f>COTIZADOR!F256</f>
        <v>0</v>
      </c>
      <c r="D225" s="136">
        <f>COTIZADOR!G256</f>
        <v>0</v>
      </c>
      <c r="E225" s="136">
        <f>IF(COTIZADOR!$G$301="LIQUIDEZ HIPOTECARIA",D225*16%,0)</f>
        <v>0</v>
      </c>
      <c r="F225" s="136">
        <f>COTIZADOR!H256</f>
        <v>0</v>
      </c>
      <c r="G225" s="136">
        <f>COTIZADOR!I256</f>
        <v>0</v>
      </c>
      <c r="H225" s="136">
        <f>COTIZADOR!J256</f>
        <v>0</v>
      </c>
      <c r="I225" s="136">
        <f>COTIZADOR!K256</f>
        <v>174</v>
      </c>
      <c r="J225" s="137">
        <f>COTIZADOR!L256+E225</f>
        <v>174</v>
      </c>
      <c r="K225" s="18"/>
    </row>
    <row r="226" spans="1:11" x14ac:dyDescent="0.25">
      <c r="A226" s="18"/>
      <c r="B226" s="135">
        <f>COTIZADOR!E257</f>
        <v>222</v>
      </c>
      <c r="C226" s="136">
        <f>COTIZADOR!F257</f>
        <v>0</v>
      </c>
      <c r="D226" s="136">
        <f>COTIZADOR!G257</f>
        <v>0</v>
      </c>
      <c r="E226" s="136">
        <f>IF(COTIZADOR!$G$301="LIQUIDEZ HIPOTECARIA",D226*16%,0)</f>
        <v>0</v>
      </c>
      <c r="F226" s="136">
        <f>COTIZADOR!H257</f>
        <v>0</v>
      </c>
      <c r="G226" s="136">
        <f>COTIZADOR!I257</f>
        <v>0</v>
      </c>
      <c r="H226" s="136">
        <f>COTIZADOR!J257</f>
        <v>0</v>
      </c>
      <c r="I226" s="136">
        <f>COTIZADOR!K257</f>
        <v>174</v>
      </c>
      <c r="J226" s="137">
        <f>COTIZADOR!L257+E226</f>
        <v>174</v>
      </c>
      <c r="K226" s="18"/>
    </row>
    <row r="227" spans="1:11" x14ac:dyDescent="0.25">
      <c r="A227" s="18"/>
      <c r="B227" s="135">
        <f>COTIZADOR!E258</f>
        <v>223</v>
      </c>
      <c r="C227" s="136">
        <f>COTIZADOR!F258</f>
        <v>0</v>
      </c>
      <c r="D227" s="136">
        <f>COTIZADOR!G258</f>
        <v>0</v>
      </c>
      <c r="E227" s="136">
        <f>IF(COTIZADOR!$G$301="LIQUIDEZ HIPOTECARIA",D227*16%,0)</f>
        <v>0</v>
      </c>
      <c r="F227" s="136">
        <f>COTIZADOR!H258</f>
        <v>0</v>
      </c>
      <c r="G227" s="136">
        <f>COTIZADOR!I258</f>
        <v>0</v>
      </c>
      <c r="H227" s="136">
        <f>COTIZADOR!J258</f>
        <v>0</v>
      </c>
      <c r="I227" s="136">
        <f>COTIZADOR!K258</f>
        <v>174</v>
      </c>
      <c r="J227" s="137">
        <f>COTIZADOR!L258+E227</f>
        <v>174</v>
      </c>
      <c r="K227" s="18"/>
    </row>
    <row r="228" spans="1:11" x14ac:dyDescent="0.25">
      <c r="A228" s="18"/>
      <c r="B228" s="135">
        <f>COTIZADOR!E259</f>
        <v>224</v>
      </c>
      <c r="C228" s="136">
        <f>COTIZADOR!F259</f>
        <v>0</v>
      </c>
      <c r="D228" s="136">
        <f>COTIZADOR!G259</f>
        <v>0</v>
      </c>
      <c r="E228" s="136">
        <f>IF(COTIZADOR!$G$301="LIQUIDEZ HIPOTECARIA",D228*16%,0)</f>
        <v>0</v>
      </c>
      <c r="F228" s="136">
        <f>COTIZADOR!H259</f>
        <v>0</v>
      </c>
      <c r="G228" s="136">
        <f>COTIZADOR!I259</f>
        <v>0</v>
      </c>
      <c r="H228" s="136">
        <f>COTIZADOR!J259</f>
        <v>0</v>
      </c>
      <c r="I228" s="136">
        <f>COTIZADOR!K259</f>
        <v>174</v>
      </c>
      <c r="J228" s="137">
        <f>COTIZADOR!L259+E228</f>
        <v>174</v>
      </c>
      <c r="K228" s="18"/>
    </row>
    <row r="229" spans="1:11" x14ac:dyDescent="0.25">
      <c r="A229" s="18"/>
      <c r="B229" s="135">
        <f>COTIZADOR!E260</f>
        <v>225</v>
      </c>
      <c r="C229" s="136">
        <f>COTIZADOR!F260</f>
        <v>0</v>
      </c>
      <c r="D229" s="136">
        <f>COTIZADOR!G260</f>
        <v>0</v>
      </c>
      <c r="E229" s="136">
        <f>IF(COTIZADOR!$G$301="LIQUIDEZ HIPOTECARIA",D229*16%,0)</f>
        <v>0</v>
      </c>
      <c r="F229" s="136">
        <f>COTIZADOR!H260</f>
        <v>0</v>
      </c>
      <c r="G229" s="136">
        <f>COTIZADOR!I260</f>
        <v>0</v>
      </c>
      <c r="H229" s="136">
        <f>COTIZADOR!J260</f>
        <v>0</v>
      </c>
      <c r="I229" s="136">
        <f>COTIZADOR!K260</f>
        <v>174</v>
      </c>
      <c r="J229" s="137">
        <f>COTIZADOR!L260+E229</f>
        <v>174</v>
      </c>
      <c r="K229" s="18"/>
    </row>
    <row r="230" spans="1:11" x14ac:dyDescent="0.25">
      <c r="A230" s="18"/>
      <c r="B230" s="135">
        <f>COTIZADOR!E261</f>
        <v>226</v>
      </c>
      <c r="C230" s="136">
        <f>COTIZADOR!F261</f>
        <v>0</v>
      </c>
      <c r="D230" s="136">
        <f>COTIZADOR!G261</f>
        <v>0</v>
      </c>
      <c r="E230" s="136">
        <f>IF(COTIZADOR!$G$301="LIQUIDEZ HIPOTECARIA",D230*16%,0)</f>
        <v>0</v>
      </c>
      <c r="F230" s="136">
        <f>COTIZADOR!H261</f>
        <v>0</v>
      </c>
      <c r="G230" s="136">
        <f>COTIZADOR!I261</f>
        <v>0</v>
      </c>
      <c r="H230" s="136">
        <f>COTIZADOR!J261</f>
        <v>0</v>
      </c>
      <c r="I230" s="136">
        <f>COTIZADOR!K261</f>
        <v>174</v>
      </c>
      <c r="J230" s="137">
        <f>COTIZADOR!L261+E230</f>
        <v>174</v>
      </c>
      <c r="K230" s="18"/>
    </row>
    <row r="231" spans="1:11" x14ac:dyDescent="0.25">
      <c r="A231" s="18"/>
      <c r="B231" s="135">
        <f>COTIZADOR!E262</f>
        <v>227</v>
      </c>
      <c r="C231" s="136">
        <f>COTIZADOR!F262</f>
        <v>0</v>
      </c>
      <c r="D231" s="136">
        <f>COTIZADOR!G262</f>
        <v>0</v>
      </c>
      <c r="E231" s="136">
        <f>IF(COTIZADOR!$G$301="LIQUIDEZ HIPOTECARIA",D231*16%,0)</f>
        <v>0</v>
      </c>
      <c r="F231" s="136">
        <f>COTIZADOR!H262</f>
        <v>0</v>
      </c>
      <c r="G231" s="136">
        <f>COTIZADOR!I262</f>
        <v>0</v>
      </c>
      <c r="H231" s="136">
        <f>COTIZADOR!J262</f>
        <v>0</v>
      </c>
      <c r="I231" s="136">
        <f>COTIZADOR!K262</f>
        <v>174</v>
      </c>
      <c r="J231" s="137">
        <f>COTIZADOR!L262+E231</f>
        <v>174</v>
      </c>
      <c r="K231" s="18"/>
    </row>
    <row r="232" spans="1:11" x14ac:dyDescent="0.25">
      <c r="A232" s="18"/>
      <c r="B232" s="135">
        <f>COTIZADOR!E263</f>
        <v>228</v>
      </c>
      <c r="C232" s="136">
        <f>COTIZADOR!F263</f>
        <v>0</v>
      </c>
      <c r="D232" s="136">
        <f>COTIZADOR!G263</f>
        <v>0</v>
      </c>
      <c r="E232" s="136">
        <f>IF(COTIZADOR!$G$301="LIQUIDEZ HIPOTECARIA",D232*16%,0)</f>
        <v>0</v>
      </c>
      <c r="F232" s="136">
        <f>COTIZADOR!H263</f>
        <v>0</v>
      </c>
      <c r="G232" s="136">
        <f>COTIZADOR!I263</f>
        <v>0</v>
      </c>
      <c r="H232" s="136">
        <f>COTIZADOR!J263</f>
        <v>0</v>
      </c>
      <c r="I232" s="136">
        <f>COTIZADOR!K263</f>
        <v>174</v>
      </c>
      <c r="J232" s="137">
        <f>COTIZADOR!L263+E232</f>
        <v>174</v>
      </c>
      <c r="K232" s="18"/>
    </row>
    <row r="233" spans="1:11" x14ac:dyDescent="0.25">
      <c r="A233" s="18"/>
      <c r="B233" s="135">
        <f>COTIZADOR!E264</f>
        <v>229</v>
      </c>
      <c r="C233" s="136">
        <f>COTIZADOR!F264</f>
        <v>0</v>
      </c>
      <c r="D233" s="136">
        <f>COTIZADOR!G264</f>
        <v>0</v>
      </c>
      <c r="E233" s="136">
        <f>IF(COTIZADOR!$G$301="LIQUIDEZ HIPOTECARIA",D233*16%,0)</f>
        <v>0</v>
      </c>
      <c r="F233" s="136">
        <f>COTIZADOR!H264</f>
        <v>0</v>
      </c>
      <c r="G233" s="136">
        <f>COTIZADOR!I264</f>
        <v>0</v>
      </c>
      <c r="H233" s="136">
        <f>COTIZADOR!J264</f>
        <v>0</v>
      </c>
      <c r="I233" s="136">
        <f>COTIZADOR!K264</f>
        <v>174</v>
      </c>
      <c r="J233" s="137">
        <f>COTIZADOR!L264+E233</f>
        <v>174</v>
      </c>
      <c r="K233" s="18"/>
    </row>
    <row r="234" spans="1:11" x14ac:dyDescent="0.25">
      <c r="A234" s="18"/>
      <c r="B234" s="135">
        <f>COTIZADOR!E265</f>
        <v>230</v>
      </c>
      <c r="C234" s="136">
        <f>COTIZADOR!F265</f>
        <v>0</v>
      </c>
      <c r="D234" s="136">
        <f>COTIZADOR!G265</f>
        <v>0</v>
      </c>
      <c r="E234" s="136">
        <f>IF(COTIZADOR!$G$301="LIQUIDEZ HIPOTECARIA",D234*16%,0)</f>
        <v>0</v>
      </c>
      <c r="F234" s="136">
        <f>COTIZADOR!H265</f>
        <v>0</v>
      </c>
      <c r="G234" s="136">
        <f>COTIZADOR!I265</f>
        <v>0</v>
      </c>
      <c r="H234" s="136">
        <f>COTIZADOR!J265</f>
        <v>0</v>
      </c>
      <c r="I234" s="136">
        <f>COTIZADOR!K265</f>
        <v>174</v>
      </c>
      <c r="J234" s="137">
        <f>COTIZADOR!L265+E234</f>
        <v>174</v>
      </c>
      <c r="K234" s="18"/>
    </row>
    <row r="235" spans="1:11" x14ac:dyDescent="0.25">
      <c r="A235" s="18"/>
      <c r="B235" s="135">
        <f>COTIZADOR!E266</f>
        <v>231</v>
      </c>
      <c r="C235" s="136">
        <f>COTIZADOR!F266</f>
        <v>0</v>
      </c>
      <c r="D235" s="136">
        <f>COTIZADOR!G266</f>
        <v>0</v>
      </c>
      <c r="E235" s="136">
        <f>IF(COTIZADOR!$G$301="LIQUIDEZ HIPOTECARIA",D235*16%,0)</f>
        <v>0</v>
      </c>
      <c r="F235" s="136">
        <f>COTIZADOR!H266</f>
        <v>0</v>
      </c>
      <c r="G235" s="136">
        <f>COTIZADOR!I266</f>
        <v>0</v>
      </c>
      <c r="H235" s="136">
        <f>COTIZADOR!J266</f>
        <v>0</v>
      </c>
      <c r="I235" s="136">
        <f>COTIZADOR!K266</f>
        <v>174</v>
      </c>
      <c r="J235" s="137">
        <f>COTIZADOR!L266+E235</f>
        <v>174</v>
      </c>
      <c r="K235" s="18"/>
    </row>
    <row r="236" spans="1:11" x14ac:dyDescent="0.25">
      <c r="A236" s="18"/>
      <c r="B236" s="135">
        <f>COTIZADOR!E267</f>
        <v>232</v>
      </c>
      <c r="C236" s="136">
        <f>COTIZADOR!F267</f>
        <v>0</v>
      </c>
      <c r="D236" s="136">
        <f>COTIZADOR!G267</f>
        <v>0</v>
      </c>
      <c r="E236" s="136">
        <f>IF(COTIZADOR!$G$301="LIQUIDEZ HIPOTECARIA",D236*16%,0)</f>
        <v>0</v>
      </c>
      <c r="F236" s="136">
        <f>COTIZADOR!H267</f>
        <v>0</v>
      </c>
      <c r="G236" s="136">
        <f>COTIZADOR!I267</f>
        <v>0</v>
      </c>
      <c r="H236" s="136">
        <f>COTIZADOR!J267</f>
        <v>0</v>
      </c>
      <c r="I236" s="136">
        <f>COTIZADOR!K267</f>
        <v>174</v>
      </c>
      <c r="J236" s="137">
        <f>COTIZADOR!L267+E236</f>
        <v>174</v>
      </c>
      <c r="K236" s="18"/>
    </row>
    <row r="237" spans="1:11" x14ac:dyDescent="0.25">
      <c r="A237" s="18"/>
      <c r="B237" s="135">
        <f>COTIZADOR!E268</f>
        <v>233</v>
      </c>
      <c r="C237" s="136">
        <f>COTIZADOR!F268</f>
        <v>0</v>
      </c>
      <c r="D237" s="136">
        <f>COTIZADOR!G268</f>
        <v>0</v>
      </c>
      <c r="E237" s="136">
        <f>IF(COTIZADOR!$G$301="LIQUIDEZ HIPOTECARIA",D237*16%,0)</f>
        <v>0</v>
      </c>
      <c r="F237" s="136">
        <f>COTIZADOR!H268</f>
        <v>0</v>
      </c>
      <c r="G237" s="136">
        <f>COTIZADOR!I268</f>
        <v>0</v>
      </c>
      <c r="H237" s="136">
        <f>COTIZADOR!J268</f>
        <v>0</v>
      </c>
      <c r="I237" s="136">
        <f>COTIZADOR!K268</f>
        <v>174</v>
      </c>
      <c r="J237" s="137">
        <f>COTIZADOR!L268+E237</f>
        <v>174</v>
      </c>
      <c r="K237" s="18"/>
    </row>
    <row r="238" spans="1:11" x14ac:dyDescent="0.25">
      <c r="A238" s="18"/>
      <c r="B238" s="135">
        <f>COTIZADOR!E269</f>
        <v>234</v>
      </c>
      <c r="C238" s="136">
        <f>COTIZADOR!F269</f>
        <v>0</v>
      </c>
      <c r="D238" s="136">
        <f>COTIZADOR!G269</f>
        <v>0</v>
      </c>
      <c r="E238" s="136">
        <f>IF(COTIZADOR!$G$301="LIQUIDEZ HIPOTECARIA",D238*16%,0)</f>
        <v>0</v>
      </c>
      <c r="F238" s="136">
        <f>COTIZADOR!H269</f>
        <v>0</v>
      </c>
      <c r="G238" s="136">
        <f>COTIZADOR!I269</f>
        <v>0</v>
      </c>
      <c r="H238" s="136">
        <f>COTIZADOR!J269</f>
        <v>0</v>
      </c>
      <c r="I238" s="136">
        <f>COTIZADOR!K269</f>
        <v>174</v>
      </c>
      <c r="J238" s="137">
        <f>COTIZADOR!L269+E238</f>
        <v>174</v>
      </c>
      <c r="K238" s="18"/>
    </row>
    <row r="239" spans="1:11" x14ac:dyDescent="0.25">
      <c r="A239" s="18"/>
      <c r="B239" s="135">
        <f>COTIZADOR!E270</f>
        <v>235</v>
      </c>
      <c r="C239" s="136">
        <f>COTIZADOR!F270</f>
        <v>0</v>
      </c>
      <c r="D239" s="136">
        <f>COTIZADOR!G270</f>
        <v>0</v>
      </c>
      <c r="E239" s="136">
        <f>IF(COTIZADOR!$G$301="LIQUIDEZ HIPOTECARIA",D239*16%,0)</f>
        <v>0</v>
      </c>
      <c r="F239" s="136">
        <f>COTIZADOR!H270</f>
        <v>0</v>
      </c>
      <c r="G239" s="136">
        <f>COTIZADOR!I270</f>
        <v>0</v>
      </c>
      <c r="H239" s="136">
        <f>COTIZADOR!J270</f>
        <v>0</v>
      </c>
      <c r="I239" s="136">
        <f>COTIZADOR!K270</f>
        <v>174</v>
      </c>
      <c r="J239" s="137">
        <f>COTIZADOR!L270+E239</f>
        <v>174</v>
      </c>
      <c r="K239" s="18"/>
    </row>
    <row r="240" spans="1:11" x14ac:dyDescent="0.25">
      <c r="A240" s="18"/>
      <c r="B240" s="135">
        <f>COTIZADOR!E271</f>
        <v>236</v>
      </c>
      <c r="C240" s="136">
        <f>COTIZADOR!F271</f>
        <v>0</v>
      </c>
      <c r="D240" s="136">
        <f>COTIZADOR!G271</f>
        <v>0</v>
      </c>
      <c r="E240" s="136">
        <f>IF(COTIZADOR!$G$301="LIQUIDEZ HIPOTECARIA",D240*16%,0)</f>
        <v>0</v>
      </c>
      <c r="F240" s="136">
        <f>COTIZADOR!H271</f>
        <v>0</v>
      </c>
      <c r="G240" s="136">
        <f>COTIZADOR!I271</f>
        <v>0</v>
      </c>
      <c r="H240" s="136">
        <f>COTIZADOR!J271</f>
        <v>0</v>
      </c>
      <c r="I240" s="136">
        <f>COTIZADOR!K271</f>
        <v>174</v>
      </c>
      <c r="J240" s="137">
        <f>COTIZADOR!L271+E240</f>
        <v>174</v>
      </c>
      <c r="K240" s="18"/>
    </row>
    <row r="241" spans="1:11" x14ac:dyDescent="0.25">
      <c r="A241" s="18"/>
      <c r="B241" s="135">
        <f>COTIZADOR!E272</f>
        <v>237</v>
      </c>
      <c r="C241" s="136">
        <f>COTIZADOR!F272</f>
        <v>0</v>
      </c>
      <c r="D241" s="136">
        <f>COTIZADOR!G272</f>
        <v>0</v>
      </c>
      <c r="E241" s="136">
        <f>IF(COTIZADOR!$G$301="LIQUIDEZ HIPOTECARIA",D241*16%,0)</f>
        <v>0</v>
      </c>
      <c r="F241" s="136">
        <f>COTIZADOR!H272</f>
        <v>0</v>
      </c>
      <c r="G241" s="136">
        <f>COTIZADOR!I272</f>
        <v>0</v>
      </c>
      <c r="H241" s="136">
        <f>COTIZADOR!J272</f>
        <v>0</v>
      </c>
      <c r="I241" s="136">
        <f>COTIZADOR!K272</f>
        <v>174</v>
      </c>
      <c r="J241" s="137">
        <f>COTIZADOR!L272+E241</f>
        <v>174</v>
      </c>
      <c r="K241" s="18"/>
    </row>
    <row r="242" spans="1:11" x14ac:dyDescent="0.25">
      <c r="A242" s="18"/>
      <c r="B242" s="135">
        <f>COTIZADOR!E273</f>
        <v>238</v>
      </c>
      <c r="C242" s="136">
        <f>COTIZADOR!F273</f>
        <v>0</v>
      </c>
      <c r="D242" s="136">
        <f>COTIZADOR!G273</f>
        <v>0</v>
      </c>
      <c r="E242" s="136">
        <f>IF(COTIZADOR!$G$301="LIQUIDEZ HIPOTECARIA",D242*16%,0)</f>
        <v>0</v>
      </c>
      <c r="F242" s="136">
        <f>COTIZADOR!H273</f>
        <v>0</v>
      </c>
      <c r="G242" s="136">
        <f>COTIZADOR!I273</f>
        <v>0</v>
      </c>
      <c r="H242" s="136">
        <f>COTIZADOR!J273</f>
        <v>0</v>
      </c>
      <c r="I242" s="136">
        <f>COTIZADOR!K273</f>
        <v>174</v>
      </c>
      <c r="J242" s="137">
        <f>COTIZADOR!L273+E242</f>
        <v>174</v>
      </c>
      <c r="K242" s="18"/>
    </row>
    <row r="243" spans="1:11" x14ac:dyDescent="0.25">
      <c r="A243" s="18"/>
      <c r="B243" s="135">
        <f>COTIZADOR!E274</f>
        <v>239</v>
      </c>
      <c r="C243" s="136">
        <f>COTIZADOR!F274</f>
        <v>0</v>
      </c>
      <c r="D243" s="136">
        <f>COTIZADOR!G274</f>
        <v>0</v>
      </c>
      <c r="E243" s="136">
        <f>IF(COTIZADOR!$G$301="LIQUIDEZ HIPOTECARIA",D243*16%,0)</f>
        <v>0</v>
      </c>
      <c r="F243" s="136">
        <f>COTIZADOR!H274</f>
        <v>0</v>
      </c>
      <c r="G243" s="136">
        <f>COTIZADOR!I274</f>
        <v>0</v>
      </c>
      <c r="H243" s="136">
        <f>COTIZADOR!J274</f>
        <v>0</v>
      </c>
      <c r="I243" s="136">
        <f>COTIZADOR!K274</f>
        <v>174</v>
      </c>
      <c r="J243" s="137">
        <f>COTIZADOR!L274+E243</f>
        <v>174</v>
      </c>
      <c r="K243" s="18"/>
    </row>
    <row r="244" spans="1:11" x14ac:dyDescent="0.25">
      <c r="A244" s="18"/>
      <c r="B244" s="135">
        <f>COTIZADOR!E275</f>
        <v>240</v>
      </c>
      <c r="C244" s="136">
        <f>COTIZADOR!F275</f>
        <v>0</v>
      </c>
      <c r="D244" s="136">
        <f>COTIZADOR!G275</f>
        <v>0</v>
      </c>
      <c r="E244" s="136">
        <f>IF(COTIZADOR!$G$301="LIQUIDEZ HIPOTECARIA",D244*16%,0)</f>
        <v>0</v>
      </c>
      <c r="F244" s="136">
        <f>COTIZADOR!H275</f>
        <v>0</v>
      </c>
      <c r="G244" s="136">
        <f>COTIZADOR!I275</f>
        <v>0</v>
      </c>
      <c r="H244" s="136">
        <f>COTIZADOR!J275</f>
        <v>0</v>
      </c>
      <c r="I244" s="136">
        <f>COTIZADOR!K275</f>
        <v>174</v>
      </c>
      <c r="J244" s="137">
        <f>COTIZADOR!L275+E244</f>
        <v>174</v>
      </c>
      <c r="K244" s="18"/>
    </row>
    <row r="245" spans="1:11" hidden="1" x14ac:dyDescent="0.25">
      <c r="B245" s="69"/>
      <c r="C245" s="70"/>
      <c r="D245" s="70"/>
      <c r="E245" s="70"/>
      <c r="F245" s="70"/>
      <c r="G245" s="70"/>
      <c r="H245" s="70"/>
      <c r="I245" s="70"/>
      <c r="J245" s="70"/>
    </row>
    <row r="246" spans="1:11" hidden="1" x14ac:dyDescent="0.25">
      <c r="B246" s="69"/>
      <c r="C246" s="70"/>
      <c r="D246" s="70"/>
      <c r="E246" s="70"/>
      <c r="F246" s="70"/>
      <c r="G246" s="70"/>
      <c r="H246" s="70"/>
      <c r="I246" s="70"/>
      <c r="J246" s="70"/>
    </row>
    <row r="247" spans="1:11" hidden="1" x14ac:dyDescent="0.25">
      <c r="B247" s="69"/>
      <c r="C247" s="70"/>
      <c r="D247" s="70"/>
      <c r="E247" s="70"/>
      <c r="F247" s="70"/>
      <c r="G247" s="70"/>
      <c r="H247" s="70"/>
      <c r="I247" s="70"/>
      <c r="J247" s="70"/>
    </row>
    <row r="248" spans="1:11" hidden="1" x14ac:dyDescent="0.25">
      <c r="B248" s="69"/>
      <c r="C248" s="70"/>
      <c r="D248" s="70"/>
      <c r="E248" s="70"/>
      <c r="F248" s="70"/>
      <c r="G248" s="70"/>
      <c r="H248" s="70"/>
      <c r="I248" s="70"/>
      <c r="J248" s="70"/>
    </row>
    <row r="249" spans="1:11" hidden="1" x14ac:dyDescent="0.25">
      <c r="B249" s="69"/>
      <c r="C249" s="70"/>
      <c r="D249" s="70"/>
      <c r="E249" s="70"/>
      <c r="F249" s="70"/>
      <c r="G249" s="70"/>
      <c r="H249" s="70"/>
      <c r="I249" s="70"/>
      <c r="J249" s="70"/>
    </row>
    <row r="250" spans="1:11" hidden="1" x14ac:dyDescent="0.25">
      <c r="B250" s="69"/>
      <c r="C250" s="70"/>
      <c r="D250" s="70"/>
      <c r="E250" s="70"/>
      <c r="F250" s="70"/>
      <c r="G250" s="70"/>
      <c r="H250" s="70"/>
      <c r="I250" s="70"/>
      <c r="J250" s="70"/>
    </row>
    <row r="251" spans="1:11" hidden="1" x14ac:dyDescent="0.25"/>
  </sheetData>
  <sheetProtection password="C878" sheet="1" objects="1" scenarios="1"/>
  <printOptions horizontalCentered="1"/>
  <pageMargins left="0" right="0" top="0" bottom="0" header="0.31496062992125984" footer="0.31496062992125984"/>
  <pageSetup scale="63" fitToHeight="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baca35-1f23-45e0-9790-b0eb587d8fb7">JDVHRNCSYCUA-158-857</_dlc_DocId>
    <_dlc_DocIdUrl xmlns="bbbaca35-1f23-45e0-9790-b0eb587d8fb7">
      <Url>http://srvsharep/sitios/BamIntranet/Inicio/FVentas/_layouts/15/DocIdRedir.aspx?ID=JDVHRNCSYCUA-158-857</Url>
      <Description>JDVHRNCSYCUA-158-857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D5FEE97BD7B43B5DE7DE9431F78C3" ma:contentTypeVersion="1" ma:contentTypeDescription="Crear nuevo documento." ma:contentTypeScope="" ma:versionID="56f6a03ab545d42298bf1a83ef4c3177">
  <xsd:schema xmlns:xsd="http://www.w3.org/2001/XMLSchema" xmlns:xs="http://www.w3.org/2001/XMLSchema" xmlns:p="http://schemas.microsoft.com/office/2006/metadata/properties" xmlns:ns2="bbbaca35-1f23-45e0-9790-b0eb587d8fb7" targetNamespace="http://schemas.microsoft.com/office/2006/metadata/properties" ma:root="true" ma:fieldsID="2a00294b21cd0af1c395853c5a9a1539" ns2:_="">
    <xsd:import namespace="bbbaca35-1f23-45e0-9790-b0eb587d8f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aca35-1f23-45e0-9790-b0eb587d8f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C5EFC7-FBE8-47B0-BFE2-B06A56474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9652E-BDD4-44D6-A641-8DABEEBC35E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bbaca35-1f23-45e0-9790-b0eb587d8fb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E0BF13-80BD-456D-90B5-BBAD09CA5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aca35-1f23-45e0-9790-b0eb587d8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DE049A4-7A38-4B6E-B906-BF97F9213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COTIZADOR</vt:lpstr>
      <vt:lpstr>COTIZACION</vt:lpstr>
      <vt:lpstr>Tabla de Avaluos</vt:lpstr>
      <vt:lpstr>TABLA DE AMORTIZACIÓN</vt:lpstr>
      <vt:lpstr>COTIZACION!Área_de_impresión</vt:lpstr>
      <vt:lpstr>COTIZADOR!Área_de_impresión</vt:lpstr>
      <vt:lpstr>PLAZO_1</vt:lpstr>
      <vt:lpstr>PRODUCTOS_1</vt:lpstr>
      <vt:lpstr>'TABLA DE AMORTIZACIÓN'!Títulos_a_imprimir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Banco Autofin Mexico S.A.</cp:lastModifiedBy>
  <cp:lastPrinted>2018-07-12T18:41:32Z</cp:lastPrinted>
  <dcterms:created xsi:type="dcterms:W3CDTF">2013-09-28T18:42:26Z</dcterms:created>
  <dcterms:modified xsi:type="dcterms:W3CDTF">2018-09-17T18:48:58Z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0x0101008CBD5FEE97BD7B43B5DE7DE9431F78C3</vt:lpwstr>
  </property>
  <property fmtid="{D5CDD505-2E9C-101B-9397-08002B2CF9AE}" pid="3" name="_dlc_DocIdItemGuid">
    <vt:lpwstr>153fa6a8-6f68-4df4-8b10-3587abdf883e</vt:lpwstr>
  </property>
</Properties>
</file>